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.1\s\Root\booklists\23\"/>
    </mc:Choice>
  </mc:AlternateContent>
  <xr:revisionPtr revIDLastSave="0" documentId="8_{5D3AE63F-9D0B-4B02-A65C-F0086A9C8D1C}" xr6:coauthVersionLast="47" xr6:coauthVersionMax="47" xr10:uidLastSave="{00000000-0000-0000-0000-000000000000}"/>
  <bookViews>
    <workbookView xWindow="0" yWindow="1995" windowWidth="26625" windowHeight="12405" xr2:uid="{FB9B08E0-209D-4201-A102-26A0DE1CA9B0}"/>
  </bookViews>
  <sheets>
    <sheet name="List of books מאגרים - מוסד הרב" sheetId="1" r:id="rId1"/>
  </sheets>
  <calcPr calcId="0"/>
</workbook>
</file>

<file path=xl/calcChain.xml><?xml version="1.0" encoding="utf-8"?>
<calcChain xmlns="http://schemas.openxmlformats.org/spreadsheetml/2006/main"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G320" i="1"/>
  <c r="H320" i="1"/>
  <c r="G321" i="1"/>
  <c r="H321" i="1"/>
  <c r="G322" i="1"/>
  <c r="H322" i="1"/>
  <c r="G323" i="1"/>
  <c r="H323" i="1"/>
  <c r="G324" i="1"/>
  <c r="H324" i="1"/>
  <c r="G325" i="1"/>
  <c r="H325" i="1"/>
  <c r="G326" i="1"/>
  <c r="H326" i="1"/>
  <c r="G327" i="1"/>
  <c r="H327" i="1"/>
  <c r="G328" i="1"/>
  <c r="H328" i="1"/>
  <c r="G329" i="1"/>
  <c r="H329" i="1"/>
  <c r="G330" i="1"/>
  <c r="H330" i="1"/>
  <c r="G331" i="1"/>
  <c r="H331" i="1"/>
  <c r="G332" i="1"/>
  <c r="H332" i="1"/>
  <c r="G333" i="1"/>
  <c r="H333" i="1"/>
  <c r="G334" i="1"/>
  <c r="H334" i="1"/>
  <c r="G335" i="1"/>
  <c r="H335" i="1"/>
  <c r="G336" i="1"/>
  <c r="H336" i="1"/>
  <c r="G337" i="1"/>
  <c r="H337" i="1"/>
  <c r="G338" i="1"/>
  <c r="H338" i="1"/>
  <c r="G339" i="1"/>
  <c r="H339" i="1"/>
  <c r="G340" i="1"/>
  <c r="H340" i="1"/>
  <c r="G341" i="1"/>
  <c r="H341" i="1"/>
  <c r="G342" i="1"/>
  <c r="H342" i="1"/>
  <c r="G343" i="1"/>
  <c r="H343" i="1"/>
  <c r="G344" i="1"/>
  <c r="H344" i="1"/>
  <c r="G345" i="1"/>
  <c r="H345" i="1"/>
  <c r="G346" i="1"/>
  <c r="H346" i="1"/>
  <c r="G347" i="1"/>
  <c r="H347" i="1"/>
  <c r="G348" i="1"/>
  <c r="H348" i="1"/>
  <c r="G349" i="1"/>
  <c r="H349" i="1"/>
  <c r="G350" i="1"/>
  <c r="H350" i="1"/>
  <c r="G351" i="1"/>
  <c r="H351" i="1"/>
  <c r="G352" i="1"/>
  <c r="H352" i="1"/>
  <c r="G353" i="1"/>
  <c r="H353" i="1"/>
  <c r="G354" i="1"/>
  <c r="H354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380" i="1"/>
  <c r="H380" i="1"/>
  <c r="G381" i="1"/>
  <c r="H381" i="1"/>
  <c r="G382" i="1"/>
  <c r="H382" i="1"/>
  <c r="G383" i="1"/>
  <c r="H383" i="1"/>
  <c r="G384" i="1"/>
  <c r="H384" i="1"/>
  <c r="G385" i="1"/>
  <c r="H385" i="1"/>
  <c r="G386" i="1"/>
  <c r="H386" i="1"/>
  <c r="G387" i="1"/>
  <c r="H387" i="1"/>
  <c r="G388" i="1"/>
  <c r="H388" i="1"/>
  <c r="G389" i="1"/>
  <c r="H389" i="1"/>
  <c r="G390" i="1"/>
  <c r="H390" i="1"/>
  <c r="G391" i="1"/>
  <c r="H391" i="1"/>
  <c r="G392" i="1"/>
  <c r="H392" i="1"/>
  <c r="G393" i="1"/>
  <c r="H393" i="1"/>
  <c r="G394" i="1"/>
  <c r="H394" i="1"/>
  <c r="G395" i="1"/>
  <c r="H395" i="1"/>
  <c r="G396" i="1"/>
  <c r="H396" i="1"/>
  <c r="G397" i="1"/>
  <c r="H397" i="1"/>
  <c r="G398" i="1"/>
  <c r="H398" i="1"/>
  <c r="G399" i="1"/>
  <c r="H399" i="1"/>
  <c r="G400" i="1"/>
  <c r="H400" i="1"/>
  <c r="G401" i="1"/>
  <c r="H401" i="1"/>
  <c r="G402" i="1"/>
  <c r="H402" i="1"/>
  <c r="G403" i="1"/>
  <c r="H403" i="1"/>
  <c r="G404" i="1"/>
  <c r="H404" i="1"/>
  <c r="G405" i="1"/>
  <c r="H405" i="1"/>
  <c r="G406" i="1"/>
  <c r="H406" i="1"/>
  <c r="G407" i="1"/>
  <c r="H407" i="1"/>
  <c r="G408" i="1"/>
  <c r="H408" i="1"/>
  <c r="G409" i="1"/>
  <c r="H409" i="1"/>
  <c r="G410" i="1"/>
  <c r="H410" i="1"/>
  <c r="G411" i="1"/>
  <c r="H411" i="1"/>
  <c r="G412" i="1"/>
  <c r="H412" i="1"/>
  <c r="G413" i="1"/>
  <c r="H413" i="1"/>
  <c r="G414" i="1"/>
  <c r="H414" i="1"/>
  <c r="G415" i="1"/>
  <c r="H415" i="1"/>
  <c r="G416" i="1"/>
  <c r="H416" i="1"/>
  <c r="G417" i="1"/>
  <c r="H417" i="1"/>
  <c r="G418" i="1"/>
  <c r="H418" i="1"/>
  <c r="G419" i="1"/>
  <c r="H419" i="1"/>
  <c r="G420" i="1"/>
  <c r="H420" i="1"/>
  <c r="G421" i="1"/>
  <c r="H421" i="1"/>
  <c r="G422" i="1"/>
  <c r="H422" i="1"/>
  <c r="G423" i="1"/>
  <c r="H423" i="1"/>
  <c r="G424" i="1"/>
  <c r="H424" i="1"/>
  <c r="G425" i="1"/>
  <c r="H425" i="1"/>
  <c r="G426" i="1"/>
  <c r="H426" i="1"/>
  <c r="G427" i="1"/>
  <c r="H427" i="1"/>
  <c r="G428" i="1"/>
  <c r="H428" i="1"/>
  <c r="G429" i="1"/>
  <c r="H429" i="1"/>
  <c r="G430" i="1"/>
  <c r="H430" i="1"/>
  <c r="G431" i="1"/>
  <c r="H431" i="1"/>
  <c r="G432" i="1"/>
  <c r="H432" i="1"/>
  <c r="G433" i="1"/>
  <c r="H433" i="1"/>
  <c r="G434" i="1"/>
  <c r="H434" i="1"/>
  <c r="G435" i="1"/>
  <c r="H435" i="1"/>
  <c r="G436" i="1"/>
  <c r="H436" i="1"/>
  <c r="G437" i="1"/>
  <c r="H437" i="1"/>
  <c r="G438" i="1"/>
  <c r="H438" i="1"/>
  <c r="G439" i="1"/>
  <c r="H439" i="1"/>
  <c r="G440" i="1"/>
  <c r="H440" i="1"/>
  <c r="G441" i="1"/>
  <c r="H441" i="1"/>
  <c r="G442" i="1"/>
  <c r="H442" i="1"/>
  <c r="G443" i="1"/>
  <c r="H443" i="1"/>
  <c r="G444" i="1"/>
  <c r="H444" i="1"/>
  <c r="G445" i="1"/>
  <c r="H445" i="1"/>
  <c r="G446" i="1"/>
  <c r="H446" i="1"/>
  <c r="G447" i="1"/>
  <c r="H447" i="1"/>
  <c r="G448" i="1"/>
  <c r="H448" i="1"/>
  <c r="G449" i="1"/>
  <c r="H449" i="1"/>
  <c r="G450" i="1"/>
  <c r="H450" i="1"/>
  <c r="G451" i="1"/>
  <c r="H451" i="1"/>
  <c r="G452" i="1"/>
  <c r="H452" i="1"/>
  <c r="G453" i="1"/>
  <c r="H453" i="1"/>
  <c r="G454" i="1"/>
  <c r="H454" i="1"/>
  <c r="G455" i="1"/>
  <c r="H455" i="1"/>
  <c r="G456" i="1"/>
  <c r="H456" i="1"/>
  <c r="G457" i="1"/>
  <c r="H457" i="1"/>
  <c r="G458" i="1"/>
  <c r="H458" i="1"/>
  <c r="G459" i="1"/>
  <c r="H459" i="1"/>
  <c r="G460" i="1"/>
  <c r="H460" i="1"/>
  <c r="G461" i="1"/>
  <c r="H461" i="1"/>
  <c r="G462" i="1"/>
  <c r="H462" i="1"/>
  <c r="G463" i="1"/>
  <c r="H463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75" i="1"/>
  <c r="H475" i="1"/>
  <c r="G476" i="1"/>
  <c r="H476" i="1"/>
  <c r="G477" i="1"/>
  <c r="H477" i="1"/>
  <c r="G478" i="1"/>
  <c r="H478" i="1"/>
  <c r="G479" i="1"/>
  <c r="H479" i="1"/>
  <c r="G480" i="1"/>
  <c r="H480" i="1"/>
  <c r="G481" i="1"/>
  <c r="H481" i="1"/>
  <c r="G482" i="1"/>
  <c r="H482" i="1"/>
  <c r="G483" i="1"/>
  <c r="H483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503" i="1"/>
  <c r="H503" i="1"/>
  <c r="G504" i="1"/>
  <c r="H504" i="1"/>
  <c r="G505" i="1"/>
  <c r="H505" i="1"/>
  <c r="G506" i="1"/>
  <c r="H506" i="1"/>
  <c r="G507" i="1"/>
  <c r="H507" i="1"/>
  <c r="G508" i="1"/>
  <c r="H508" i="1"/>
  <c r="G509" i="1"/>
  <c r="H509" i="1"/>
  <c r="G510" i="1"/>
  <c r="H510" i="1"/>
  <c r="G511" i="1"/>
  <c r="H511" i="1"/>
  <c r="G512" i="1"/>
  <c r="H51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9" i="1"/>
  <c r="H519" i="1"/>
  <c r="G520" i="1"/>
  <c r="H520" i="1"/>
  <c r="G521" i="1"/>
  <c r="H521" i="1"/>
  <c r="G522" i="1"/>
  <c r="H522" i="1"/>
  <c r="G523" i="1"/>
  <c r="H523" i="1"/>
  <c r="G524" i="1"/>
  <c r="H524" i="1"/>
  <c r="G525" i="1"/>
  <c r="H525" i="1"/>
  <c r="G526" i="1"/>
  <c r="H526" i="1"/>
  <c r="G527" i="1"/>
  <c r="H527" i="1"/>
  <c r="G528" i="1"/>
  <c r="H528" i="1"/>
  <c r="G529" i="1"/>
  <c r="H529" i="1"/>
  <c r="G530" i="1"/>
  <c r="H530" i="1"/>
  <c r="G531" i="1"/>
  <c r="H531" i="1"/>
  <c r="G532" i="1"/>
  <c r="H532" i="1"/>
  <c r="G533" i="1"/>
  <c r="H533" i="1"/>
  <c r="G534" i="1"/>
  <c r="H534" i="1"/>
  <c r="G535" i="1"/>
  <c r="H535" i="1"/>
  <c r="G536" i="1"/>
  <c r="H536" i="1"/>
  <c r="G537" i="1"/>
  <c r="H537" i="1"/>
  <c r="G538" i="1"/>
  <c r="H538" i="1"/>
  <c r="G539" i="1"/>
  <c r="H539" i="1"/>
  <c r="G540" i="1"/>
  <c r="H540" i="1"/>
  <c r="G541" i="1"/>
  <c r="H541" i="1"/>
  <c r="G542" i="1"/>
  <c r="H542" i="1"/>
  <c r="G543" i="1"/>
  <c r="H543" i="1"/>
  <c r="G544" i="1"/>
  <c r="H544" i="1"/>
  <c r="G545" i="1"/>
  <c r="H545" i="1"/>
  <c r="G546" i="1"/>
  <c r="H546" i="1"/>
  <c r="G547" i="1"/>
  <c r="H547" i="1"/>
  <c r="G548" i="1"/>
  <c r="H548" i="1"/>
  <c r="G549" i="1"/>
  <c r="H549" i="1"/>
  <c r="G550" i="1"/>
  <c r="H550" i="1"/>
  <c r="G551" i="1"/>
  <c r="H551" i="1"/>
  <c r="G552" i="1"/>
  <c r="H552" i="1"/>
  <c r="G553" i="1"/>
  <c r="H553" i="1"/>
  <c r="G554" i="1"/>
  <c r="H554" i="1"/>
  <c r="G555" i="1"/>
  <c r="H555" i="1"/>
  <c r="G556" i="1"/>
  <c r="H556" i="1"/>
  <c r="G557" i="1"/>
  <c r="H557" i="1"/>
  <c r="G558" i="1"/>
  <c r="H558" i="1"/>
  <c r="G559" i="1"/>
  <c r="H559" i="1"/>
  <c r="G560" i="1"/>
  <c r="H560" i="1"/>
  <c r="G561" i="1"/>
  <c r="H561" i="1"/>
  <c r="G562" i="1"/>
  <c r="H562" i="1"/>
  <c r="G563" i="1"/>
  <c r="H563" i="1"/>
  <c r="G564" i="1"/>
  <c r="H564" i="1"/>
  <c r="G565" i="1"/>
  <c r="H565" i="1"/>
  <c r="G566" i="1"/>
  <c r="H566" i="1"/>
  <c r="G567" i="1"/>
  <c r="H567" i="1"/>
  <c r="G568" i="1"/>
  <c r="H568" i="1"/>
  <c r="G569" i="1"/>
  <c r="H569" i="1"/>
  <c r="G570" i="1"/>
  <c r="H570" i="1"/>
  <c r="G571" i="1"/>
  <c r="H571" i="1"/>
  <c r="G572" i="1"/>
  <c r="H572" i="1"/>
  <c r="G573" i="1"/>
  <c r="H573" i="1"/>
  <c r="G574" i="1"/>
  <c r="H574" i="1"/>
  <c r="G575" i="1"/>
  <c r="H575" i="1"/>
  <c r="G576" i="1"/>
  <c r="H576" i="1"/>
  <c r="G577" i="1"/>
  <c r="H577" i="1"/>
  <c r="G578" i="1"/>
  <c r="H578" i="1"/>
  <c r="G579" i="1"/>
  <c r="H579" i="1"/>
  <c r="G580" i="1"/>
  <c r="H580" i="1"/>
  <c r="G581" i="1"/>
  <c r="H581" i="1"/>
  <c r="G582" i="1"/>
  <c r="H582" i="1"/>
  <c r="G583" i="1"/>
  <c r="H583" i="1"/>
  <c r="G584" i="1"/>
  <c r="H584" i="1"/>
  <c r="G585" i="1"/>
  <c r="H585" i="1"/>
  <c r="G586" i="1"/>
  <c r="H586" i="1"/>
  <c r="G587" i="1"/>
  <c r="H587" i="1"/>
  <c r="G588" i="1"/>
  <c r="H588" i="1"/>
  <c r="G589" i="1"/>
  <c r="H589" i="1"/>
  <c r="G590" i="1"/>
  <c r="H590" i="1"/>
  <c r="G591" i="1"/>
  <c r="H591" i="1"/>
  <c r="G592" i="1"/>
  <c r="H592" i="1"/>
  <c r="G593" i="1"/>
  <c r="H593" i="1"/>
  <c r="G594" i="1"/>
  <c r="H594" i="1"/>
  <c r="G595" i="1"/>
  <c r="H595" i="1"/>
  <c r="G596" i="1"/>
  <c r="H596" i="1"/>
  <c r="G597" i="1"/>
  <c r="H597" i="1"/>
  <c r="G598" i="1"/>
  <c r="H598" i="1"/>
  <c r="G599" i="1"/>
  <c r="H599" i="1"/>
  <c r="G600" i="1"/>
  <c r="H600" i="1"/>
  <c r="G601" i="1"/>
  <c r="H601" i="1"/>
  <c r="G602" i="1"/>
  <c r="H602" i="1"/>
  <c r="G603" i="1"/>
  <c r="H603" i="1"/>
  <c r="G604" i="1"/>
  <c r="H604" i="1"/>
  <c r="G605" i="1"/>
  <c r="H605" i="1"/>
  <c r="G606" i="1"/>
  <c r="H606" i="1"/>
  <c r="G607" i="1"/>
  <c r="H607" i="1"/>
  <c r="G608" i="1"/>
  <c r="H608" i="1"/>
  <c r="G609" i="1"/>
  <c r="H609" i="1"/>
  <c r="G610" i="1"/>
  <c r="H610" i="1"/>
  <c r="G611" i="1"/>
  <c r="H611" i="1"/>
  <c r="G612" i="1"/>
  <c r="H612" i="1"/>
  <c r="G613" i="1"/>
  <c r="H613" i="1"/>
  <c r="G614" i="1"/>
  <c r="H614" i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33" i="1"/>
  <c r="H633" i="1"/>
  <c r="G634" i="1"/>
  <c r="H634" i="1"/>
  <c r="G635" i="1"/>
  <c r="H635" i="1"/>
  <c r="G636" i="1"/>
  <c r="H636" i="1"/>
  <c r="G637" i="1"/>
  <c r="H637" i="1"/>
  <c r="G638" i="1"/>
  <c r="H638" i="1"/>
  <c r="G639" i="1"/>
  <c r="H639" i="1"/>
  <c r="G640" i="1"/>
  <c r="H640" i="1"/>
  <c r="G641" i="1"/>
  <c r="H641" i="1"/>
  <c r="G642" i="1"/>
  <c r="H642" i="1"/>
  <c r="G643" i="1"/>
  <c r="H643" i="1"/>
  <c r="G644" i="1"/>
  <c r="H644" i="1"/>
  <c r="G645" i="1"/>
  <c r="H645" i="1"/>
  <c r="G646" i="1"/>
  <c r="H646" i="1"/>
  <c r="G647" i="1"/>
  <c r="H647" i="1"/>
  <c r="G648" i="1"/>
  <c r="H648" i="1"/>
  <c r="G649" i="1"/>
  <c r="H649" i="1"/>
  <c r="G650" i="1"/>
  <c r="H650" i="1"/>
  <c r="G651" i="1"/>
  <c r="H651" i="1"/>
  <c r="G652" i="1"/>
  <c r="H652" i="1"/>
  <c r="G653" i="1"/>
  <c r="H653" i="1"/>
  <c r="G654" i="1"/>
  <c r="H654" i="1"/>
  <c r="G655" i="1"/>
  <c r="H655" i="1"/>
  <c r="G656" i="1"/>
  <c r="H656" i="1"/>
  <c r="G657" i="1"/>
  <c r="H657" i="1"/>
  <c r="G658" i="1"/>
  <c r="H658" i="1"/>
  <c r="G659" i="1"/>
  <c r="H659" i="1"/>
  <c r="G660" i="1"/>
  <c r="H660" i="1"/>
  <c r="G661" i="1"/>
  <c r="H661" i="1"/>
  <c r="G662" i="1"/>
  <c r="H662" i="1"/>
  <c r="G663" i="1"/>
  <c r="H663" i="1"/>
  <c r="G664" i="1"/>
  <c r="H664" i="1"/>
  <c r="G665" i="1"/>
  <c r="H665" i="1"/>
  <c r="G666" i="1"/>
  <c r="H666" i="1"/>
  <c r="G667" i="1"/>
  <c r="H667" i="1"/>
  <c r="G668" i="1"/>
  <c r="H668" i="1"/>
  <c r="G669" i="1"/>
  <c r="H669" i="1"/>
  <c r="G670" i="1"/>
  <c r="H670" i="1"/>
  <c r="G671" i="1"/>
  <c r="H671" i="1"/>
  <c r="G672" i="1"/>
  <c r="H672" i="1"/>
  <c r="G673" i="1"/>
  <c r="H673" i="1"/>
  <c r="G674" i="1"/>
  <c r="H674" i="1"/>
  <c r="G675" i="1"/>
  <c r="H675" i="1"/>
  <c r="G676" i="1"/>
  <c r="H676" i="1"/>
  <c r="G677" i="1"/>
  <c r="H677" i="1"/>
  <c r="G678" i="1"/>
  <c r="H678" i="1"/>
  <c r="G679" i="1"/>
  <c r="H679" i="1"/>
  <c r="G680" i="1"/>
  <c r="H680" i="1"/>
  <c r="G681" i="1"/>
  <c r="H681" i="1"/>
  <c r="G682" i="1"/>
  <c r="H682" i="1"/>
  <c r="G683" i="1"/>
  <c r="H683" i="1"/>
  <c r="G684" i="1"/>
  <c r="H684" i="1"/>
  <c r="G685" i="1"/>
  <c r="H685" i="1"/>
  <c r="G686" i="1"/>
  <c r="H686" i="1"/>
  <c r="G687" i="1"/>
  <c r="H687" i="1"/>
  <c r="G688" i="1"/>
  <c r="H688" i="1"/>
  <c r="G689" i="1"/>
  <c r="H689" i="1"/>
  <c r="G690" i="1"/>
  <c r="H690" i="1"/>
  <c r="G691" i="1"/>
  <c r="H691" i="1"/>
  <c r="G692" i="1"/>
  <c r="H692" i="1"/>
  <c r="G693" i="1"/>
  <c r="H693" i="1"/>
  <c r="G694" i="1"/>
  <c r="H694" i="1"/>
  <c r="G695" i="1"/>
  <c r="H695" i="1"/>
  <c r="G696" i="1"/>
  <c r="H696" i="1"/>
  <c r="G697" i="1"/>
  <c r="H697" i="1"/>
  <c r="G698" i="1"/>
  <c r="H698" i="1"/>
  <c r="G699" i="1"/>
  <c r="H699" i="1"/>
  <c r="G700" i="1"/>
  <c r="H700" i="1"/>
  <c r="G701" i="1"/>
  <c r="H701" i="1"/>
  <c r="G702" i="1"/>
  <c r="H702" i="1"/>
  <c r="G703" i="1"/>
  <c r="H703" i="1"/>
  <c r="G704" i="1"/>
  <c r="H704" i="1"/>
  <c r="G705" i="1"/>
  <c r="H705" i="1"/>
  <c r="G706" i="1"/>
  <c r="H706" i="1"/>
  <c r="G707" i="1"/>
  <c r="H707" i="1"/>
  <c r="G708" i="1"/>
  <c r="H708" i="1"/>
  <c r="G709" i="1"/>
  <c r="H709" i="1"/>
  <c r="G710" i="1"/>
  <c r="H710" i="1"/>
  <c r="G711" i="1"/>
  <c r="H711" i="1"/>
  <c r="G712" i="1"/>
  <c r="H712" i="1"/>
  <c r="G713" i="1"/>
  <c r="H713" i="1"/>
  <c r="G714" i="1"/>
  <c r="H714" i="1"/>
  <c r="G715" i="1"/>
  <c r="H715" i="1"/>
  <c r="G716" i="1"/>
  <c r="H716" i="1"/>
  <c r="G717" i="1"/>
  <c r="H717" i="1"/>
  <c r="G718" i="1"/>
  <c r="H718" i="1"/>
  <c r="G719" i="1"/>
  <c r="H719" i="1"/>
  <c r="G720" i="1"/>
  <c r="H720" i="1"/>
  <c r="G721" i="1"/>
  <c r="H721" i="1"/>
  <c r="G722" i="1"/>
  <c r="H722" i="1"/>
  <c r="G723" i="1"/>
  <c r="H723" i="1"/>
  <c r="G724" i="1"/>
  <c r="H724" i="1"/>
</calcChain>
</file>

<file path=xl/sharedStrings.xml><?xml version="1.0" encoding="utf-8"?>
<sst xmlns="http://schemas.openxmlformats.org/spreadsheetml/2006/main" count="3568" uniqueCount="1413">
  <si>
    <t>מספר ספר</t>
  </si>
  <si>
    <t xml:space="preserve"> שם ספר</t>
  </si>
  <si>
    <t xml:space="preserve"> שם מחבר</t>
  </si>
  <si>
    <t xml:space="preserve"> מקום הדפסה</t>
  </si>
  <si>
    <t xml:space="preserve"> שנת הדפסה</t>
  </si>
  <si>
    <t xml:space="preserve"> נושאים</t>
  </si>
  <si>
    <t xml:space="preserve"> קישור</t>
  </si>
  <si>
    <t xml:space="preserve"> LINK</t>
  </si>
  <si>
    <t>אבותינו</t>
  </si>
  <si>
    <t>ילין, יצחק יעקב בן צבי הירש</t>
  </si>
  <si>
    <t>ירושלים</t>
  </si>
  <si>
    <t>תשכ"ו</t>
  </si>
  <si>
    <t>תולדות עם ישראל</t>
  </si>
  <si>
    <t>אביי ורבא</t>
  </si>
  <si>
    <t>מימון, יהודה ליב בן אברהם אלימלך הכהן</t>
  </si>
  <si>
    <t>תשכ"ה</t>
  </si>
  <si>
    <t>אבן עזרא &lt;מוה"ק&gt;  - 3 כרכים</t>
  </si>
  <si>
    <t>אבן-עזרא, אברהם בן מאיר</t>
  </si>
  <si>
    <t>תשל"ז</t>
  </si>
  <si>
    <t>תנ''ך</t>
  </si>
  <si>
    <t>אגרות הראיה - 3 כרכים</t>
  </si>
  <si>
    <t>קוק, אברהם יצחק בן שלמה זלמן הכהן</t>
  </si>
  <si>
    <t>תשס"ו</t>
  </si>
  <si>
    <t>נושאים שונים</t>
  </si>
  <si>
    <t>אגרות הרב מימון - 2 כרכים</t>
  </si>
  <si>
    <t>תשל"ט</t>
  </si>
  <si>
    <t>אגרות הרמב"ם &lt;מקור ותרגום&gt;</t>
  </si>
  <si>
    <t>משה בן מימון (רמב"ם) - קאפח, יוסף בן דוד (מתרגם)</t>
  </si>
  <si>
    <t>תשנ"ד</t>
  </si>
  <si>
    <t>הלכה ומנהג, נושאים שונים</t>
  </si>
  <si>
    <t>אגרות צפון</t>
  </si>
  <si>
    <t>הירש, שמשון בן רפאל</t>
  </si>
  <si>
    <t>תשל"ו</t>
  </si>
  <si>
    <t>מחשבה ומוסר, נושאים שונים</t>
  </si>
  <si>
    <t>אגרות רבי יצחק אייזיק הלוי</t>
  </si>
  <si>
    <t>הלוי, יצחק איזיק בן אליהו - רייכל, אשר</t>
  </si>
  <si>
    <t>תשל"ב</t>
  </si>
  <si>
    <t>אגרת בעלי חיים</t>
  </si>
  <si>
    <t>קלונימוס בן קלונימוס</t>
  </si>
  <si>
    <t>תש"ט</t>
  </si>
  <si>
    <t>שאר ספרי חז''ל</t>
  </si>
  <si>
    <t>אגרת המופת</t>
  </si>
  <si>
    <t>אבן-ג'אמע, שמואל בן יעקב</t>
  </si>
  <si>
    <t>תשע"ח</t>
  </si>
  <si>
    <t>אגרת הנחמה &lt;מוה"ק&gt;</t>
  </si>
  <si>
    <t>מימון בן יוסף</t>
  </si>
  <si>
    <t>תשס"ח</t>
  </si>
  <si>
    <t>אגרת שנית של רב שרירא גאון &lt;מוה"ק&gt;</t>
  </si>
  <si>
    <t>שרירא בן חנניה גאון</t>
  </si>
  <si>
    <t>תש"פ</t>
  </si>
  <si>
    <t>אדמו"רים שנספו בשואה</t>
  </si>
  <si>
    <t>אונגר, מנשה</t>
  </si>
  <si>
    <t>תשכ"ט</t>
  </si>
  <si>
    <t>אדר היקר ועקבי הצאן</t>
  </si>
  <si>
    <t>תשכ"ז</t>
  </si>
  <si>
    <t>מחשבה ומוסר</t>
  </si>
  <si>
    <t>אדרת אליהו - 2 כרכים</t>
  </si>
  <si>
    <t>גוטמאכר, אליהו בן שלמה</t>
  </si>
  <si>
    <t>תשמ"ד</t>
  </si>
  <si>
    <t>שאלות ותשובות</t>
  </si>
  <si>
    <t>אדרת אליהו &lt;מהדורת מוסד הרב קוק&gt; - 3 כרכים</t>
  </si>
  <si>
    <t>אליהו בן שלמה זלמן (הגר"א)</t>
  </si>
  <si>
    <t>תשפ"ג</t>
  </si>
  <si>
    <t>אוסף כתביו של דב זלוטניק (באנגלית)</t>
  </si>
  <si>
    <t>זלוטניק, דב</t>
  </si>
  <si>
    <t>תשע"ה</t>
  </si>
  <si>
    <t>אוצר האגדה - 3 כרכים</t>
  </si>
  <si>
    <t>גרוס, משה דוד בן שמואל</t>
  </si>
  <si>
    <t>תשי"ד - תשט"ו</t>
  </si>
  <si>
    <t>נושאים שונים, תלמוד בבלי</t>
  </si>
  <si>
    <t>אוצר התורה - 4 כרכים</t>
  </si>
  <si>
    <t>שלזינגר, אליהו בן אהרן צבי</t>
  </si>
  <si>
    <t>תשע"ג</t>
  </si>
  <si>
    <t>אוצר התרגום</t>
  </si>
  <si>
    <t>קוסובסקי, חיים יהושע בן-ציון בן אברהם אבלי</t>
  </si>
  <si>
    <t>תרצ"ג - ת"ש</t>
  </si>
  <si>
    <t>נושאים שונים, תנ''ך</t>
  </si>
  <si>
    <t>אורות</t>
  </si>
  <si>
    <t>תש"י</t>
  </si>
  <si>
    <t>אורות הקודש - 4 כרכים</t>
  </si>
  <si>
    <t>תשמ"ה</t>
  </si>
  <si>
    <t>אורות הראיה</t>
  </si>
  <si>
    <t>אורות הרמב"ם</t>
  </si>
  <si>
    <t>וילמן, פינחס הכהן</t>
  </si>
  <si>
    <t>תשס"ג</t>
  </si>
  <si>
    <t>הלכה ומנהג</t>
  </si>
  <si>
    <t>אורות התורה</t>
  </si>
  <si>
    <t>תשמ"ח</t>
  </si>
  <si>
    <t>אורות התשובה</t>
  </si>
  <si>
    <t>אורח משפט</t>
  </si>
  <si>
    <t>אורחות משפט</t>
  </si>
  <si>
    <t>אושינסקי, יצחק צבי</t>
  </si>
  <si>
    <t>תשס"ד</t>
  </si>
  <si>
    <t>אורי וישעי - 2 כרכים</t>
  </si>
  <si>
    <t>ישעיהו, נריה</t>
  </si>
  <si>
    <t>אזכרה - ג</t>
  </si>
  <si>
    <t>תרצ"ז - תרצ"ח</t>
  </si>
  <si>
    <t>קבצים וכתבי עת, ספרי זכרון ויובל</t>
  </si>
  <si>
    <t>אחידות ושוני במלאכות שבת</t>
  </si>
  <si>
    <t>נחשון, אברהם (קופרמן)</t>
  </si>
  <si>
    <t>תשע"ז</t>
  </si>
  <si>
    <t>הלכה ומנהג, מועדי ישראל</t>
  </si>
  <si>
    <t>אחרי המבול</t>
  </si>
  <si>
    <t>כהנא, דוד בן שלמה</t>
  </si>
  <si>
    <t>תשמ"א</t>
  </si>
  <si>
    <t>אטלס דעת מקרא - 2 כרכים</t>
  </si>
  <si>
    <t>אליצור, יהודה - קיל, יהודה</t>
  </si>
  <si>
    <t>איש האמונה</t>
  </si>
  <si>
    <t>סולובייצ'יק, יוסף דוב בן משה הלוי</t>
  </si>
  <si>
    <t>תשכ"ח</t>
  </si>
  <si>
    <t>איש ההגיונות</t>
  </si>
  <si>
    <t>בת יהודה, גאולה</t>
  </si>
  <si>
    <t>תשס"א</t>
  </si>
  <si>
    <t>איש המאורות - רבי יצחק יעקב ריינס</t>
  </si>
  <si>
    <t>איש המקרא מול בוראו</t>
  </si>
  <si>
    <t>נבו, יהושפט</t>
  </si>
  <si>
    <t>תשע"ט</t>
  </si>
  <si>
    <t>מחשבה ומוסר, תנ''ך</t>
  </si>
  <si>
    <t>אישים שהכרתי</t>
  </si>
  <si>
    <t>זיידמן, הלל</t>
  </si>
  <si>
    <t>תש"ל</t>
  </si>
  <si>
    <t>איתן אריה</t>
  </si>
  <si>
    <t>ראזען, אברהם ליב</t>
  </si>
  <si>
    <t>הלכה ומנהג, שאלות ותשובות</t>
  </si>
  <si>
    <t>אל שרשי יהדות</t>
  </si>
  <si>
    <t>קריב, אברהם</t>
  </si>
  <si>
    <t>תשל"ח</t>
  </si>
  <si>
    <t>אלה הם מועדי - 3 כרכים</t>
  </si>
  <si>
    <t>דרושים, מועדי ישראל</t>
  </si>
  <si>
    <t>אלה תולדות</t>
  </si>
  <si>
    <t>תשכ"ד</t>
  </si>
  <si>
    <t>אלי מקרא</t>
  </si>
  <si>
    <t>תשס"ז</t>
  </si>
  <si>
    <t>אליבא דאמת</t>
  </si>
  <si>
    <t>אמת, יהונתן</t>
  </si>
  <si>
    <t>הלכה ומנהג, תלמוד בבלי</t>
  </si>
  <si>
    <t>אלף בית של יהדות</t>
  </si>
  <si>
    <t>צייטלין, הלל בן אהרן אליעזר</t>
  </si>
  <si>
    <t>אמונה וכפירה</t>
  </si>
  <si>
    <t>אגושביץ, ראובן בן אליהו</t>
  </si>
  <si>
    <t>תשכ"א</t>
  </si>
  <si>
    <t>אמונים - מאסף לדברי שירה</t>
  </si>
  <si>
    <t>פלאי, פינחס בן מרדכי הכהן</t>
  </si>
  <si>
    <t>תשט"ו</t>
  </si>
  <si>
    <t>אמונת היהדות לאור בעיות ימינו</t>
  </si>
  <si>
    <t>אפשטיין, יחזקאל</t>
  </si>
  <si>
    <t>אמר ודעת - 2 כרכים</t>
  </si>
  <si>
    <t>רוזנברג, יהודה יודל בן ישראל יצחק</t>
  </si>
  <si>
    <t>דרושים</t>
  </si>
  <si>
    <t>אני מאמין</t>
  </si>
  <si>
    <t>אליאב, מרדכי</t>
  </si>
  <si>
    <t>אנציקלופדיה לחסידות - 3 כרכים</t>
  </si>
  <si>
    <t>אלפסי, יצחק</t>
  </si>
  <si>
    <t>תשמ"ו</t>
  </si>
  <si>
    <t>חסידות, מחשבה ומוסר, נושאים שונים</t>
  </si>
  <si>
    <t>אנציקלופדיה ליהדות רומניה - 3 כרכים</t>
  </si>
  <si>
    <t>טרקטין, ברוך - הרשקוביץ, לוסיאן-זאב</t>
  </si>
  <si>
    <t>תשע"ב</t>
  </si>
  <si>
    <t>נושאים שונים, תולדות עם ישראל</t>
  </si>
  <si>
    <t>אנציקלופדיה של הציונות הדתית - 6 כרכים</t>
  </si>
  <si>
    <t>רפאל, יצחק (עורך)</t>
  </si>
  <si>
    <t>תשי"ח - תשמ"ג</t>
  </si>
  <si>
    <t>אסופת מאמרים</t>
  </si>
  <si>
    <t>בנדיקט, בנימין זאב</t>
  </si>
  <si>
    <t>אעברה נא</t>
  </si>
  <si>
    <t>מנוביץ-מעיני, רבקה</t>
  </si>
  <si>
    <t>ארחים</t>
  </si>
  <si>
    <t>שפירא, דוד שלמה</t>
  </si>
  <si>
    <t>ארץ הגליל</t>
  </si>
  <si>
    <t>קליין, שמואל</t>
  </si>
  <si>
    <t>ארץ חמדה - 2 כרכים</t>
  </si>
  <si>
    <t>ישראלי, שאול בן בנימין</t>
  </si>
  <si>
    <t>חש"ד</t>
  </si>
  <si>
    <t>ארץ ישראל בספרות התשובות - 3 כרכים</t>
  </si>
  <si>
    <t>שציפנסקי, ישראל</t>
  </si>
  <si>
    <t>ארשת - ג</t>
  </si>
  <si>
    <t>ארשת</t>
  </si>
  <si>
    <t>תשי"ט - תשמ"א</t>
  </si>
  <si>
    <t>אשדות ימים</t>
  </si>
  <si>
    <t>ביאלר, יהודה ליב בן חנוך</t>
  </si>
  <si>
    <t>תשי"ז</t>
  </si>
  <si>
    <t>נושאים שונים, תפלות בקשות פיוטים ושירה</t>
  </si>
  <si>
    <t>אשת חיל מבואר ומפורש</t>
  </si>
  <si>
    <t>שפירא, נתן דוד (עורך)</t>
  </si>
  <si>
    <t>אתקינו סעודתא</t>
  </si>
  <si>
    <t>באר השר</t>
  </si>
  <si>
    <t>הירש, שמשון בן רפאל - בראור יצחק</t>
  </si>
  <si>
    <t>תשע"ו</t>
  </si>
  <si>
    <t>בהיכל איזביצא לובלין</t>
  </si>
  <si>
    <t>שרגאי, שלמה זלמן - ביק, אברהם</t>
  </si>
  <si>
    <t>בחגוי הסלע - 3 כרכים</t>
  </si>
  <si>
    <t>פרשל, חגי בן טוביה</t>
  </si>
  <si>
    <t>ביאור הגר"א &lt;באר אליהו&gt; - הלכות דיינים</t>
  </si>
  <si>
    <t>תשס"ב</t>
  </si>
  <si>
    <t>שלחן ערוך ומפרשיו</t>
  </si>
  <si>
    <t>ביאור הגר"א &lt;ברכת אליהו&gt;  - 3 כרכים</t>
  </si>
  <si>
    <t>אליהו בן שלמה זלמן (הגר"א) - רקובר, ברוך (מפרש)</t>
  </si>
  <si>
    <t>ביאור הגר"א לנ"ך - 6 כרכים</t>
  </si>
  <si>
    <t>ביאור ספורנו על התורה</t>
  </si>
  <si>
    <t>ספורנו, עובדיה בן יעקב</t>
  </si>
  <si>
    <t>ביאורי החסידות לנ"ך - 2 כרכים</t>
  </si>
  <si>
    <t>חסידה, ישראל יצחק בן מנחם זאב</t>
  </si>
  <si>
    <t>תש"ס</t>
  </si>
  <si>
    <t>ביאורי החסידות לש"ס</t>
  </si>
  <si>
    <t>תשל"ה</t>
  </si>
  <si>
    <t>משנה, תלמוד בבלי, תלמוד ירושלמי</t>
  </si>
  <si>
    <t>בימי מצור ומצוק</t>
  </si>
  <si>
    <t>זהבי, יקותיאל צבי</t>
  </si>
  <si>
    <t>תשנ"ג</t>
  </si>
  <si>
    <t>בין אדם לחברו</t>
  </si>
  <si>
    <t>עמיאל, משה אביגדור - רבינקוב, זלמן ברוך - יונג, אליהו בן מאיר צבי - בר מאיר, צבי</t>
  </si>
  <si>
    <t>בין יהודי ארצות הברית</t>
  </si>
  <si>
    <t>שורין, אהרן בן ציון</t>
  </si>
  <si>
    <t>בינת ברכה - הלכות ברכות</t>
  </si>
  <si>
    <t>קמינצקי, אסף</t>
  </si>
  <si>
    <t>תשפ"א</t>
  </si>
  <si>
    <t>בירור מושגים</t>
  </si>
  <si>
    <t>לב, זאב</t>
  </si>
  <si>
    <t>תלמוד בבלי</t>
  </si>
  <si>
    <t>בית אפרים - 2 כרכים</t>
  </si>
  <si>
    <t>מרגליות, אפרים זלמן בן מנחם מאנוש</t>
  </si>
  <si>
    <t>בית הבחירה - ב"ק</t>
  </si>
  <si>
    <t>מאירי, מנחם בן שלמה</t>
  </si>
  <si>
    <t>בית התלמוד - 8 כרכים</t>
  </si>
  <si>
    <t>קובץ כולל אברכים בית התלמוד</t>
  </si>
  <si>
    <t>בית מרדכי - שו"ת ומחקרים בהלכה</t>
  </si>
  <si>
    <t>פוגלמן, מרדכי בן מנחם נחום</t>
  </si>
  <si>
    <t>תשל"א</t>
  </si>
  <si>
    <t>בלב רגש</t>
  </si>
  <si>
    <t>חסמן, רפאל</t>
  </si>
  <si>
    <t>במיצר</t>
  </si>
  <si>
    <t>קיסעלגאף, זלמן נתן</t>
  </si>
  <si>
    <t>דרושים, נושאים שונים</t>
  </si>
  <si>
    <t>במעגלי הנגלה והנסתר</t>
  </si>
  <si>
    <t>וינשטוק, ישראל</t>
  </si>
  <si>
    <t>נושאים שונים, קבלה</t>
  </si>
  <si>
    <t>במעגלי שעבוד וגאולה</t>
  </si>
  <si>
    <t>ברנשטין, ישעיהו</t>
  </si>
  <si>
    <t>במעיני חסידות איזביצא - ראדזין</t>
  </si>
  <si>
    <t>שרגאי, שלמה זלמן</t>
  </si>
  <si>
    <t>תש"מ</t>
  </si>
  <si>
    <t>חסידות</t>
  </si>
  <si>
    <t>במצודה הפרוסה</t>
  </si>
  <si>
    <t>גרשוני, בן ציון</t>
  </si>
  <si>
    <t>תשכ"ב</t>
  </si>
  <si>
    <t>במרכזים ובתפוצות בתקופת הגאונים</t>
  </si>
  <si>
    <t>אברמסון, שרגא בן קלמן</t>
  </si>
  <si>
    <t>בנין עולם - שו"ת</t>
  </si>
  <si>
    <t>חבר, יצחק איזיק בן יעקב</t>
  </si>
  <si>
    <t>בסוגיות הדור</t>
  </si>
  <si>
    <t>בעיות אקטואליות לאור ההלכה</t>
  </si>
  <si>
    <t>נושאים שונים, שאלות ותשובות</t>
  </si>
  <si>
    <t>בעל המאור עם השגות הראב"ד 'כתוב שם' - ר"ה, סוכה</t>
  </si>
  <si>
    <t>זרחיה בן יצחק הלוי גירונדי (רז"ה)</t>
  </si>
  <si>
    <t>בעלי הנפש לראב"ד בצירוף סלע המחלקות לרז"ה</t>
  </si>
  <si>
    <t>אברהם בן דוד (הראב"ד השלישי)</t>
  </si>
  <si>
    <t>בעלי תוספות על התורה</t>
  </si>
  <si>
    <t>בעלי התוספות</t>
  </si>
  <si>
    <t>בעקבות היראה</t>
  </si>
  <si>
    <t>קפלן, אברהם אליהו בן אברהם אליהו</t>
  </si>
  <si>
    <t>בעקבות המועדים והזמנים</t>
  </si>
  <si>
    <t>אינפלד, צבי</t>
  </si>
  <si>
    <t>מועדי ישראל</t>
  </si>
  <si>
    <t>ברזילי</t>
  </si>
  <si>
    <t>מרקוס, אהרן</t>
  </si>
  <si>
    <t>תשמ"ג</t>
  </si>
  <si>
    <t>ברכות שנשתקעו</t>
  </si>
  <si>
    <t>גרונר, צבי</t>
  </si>
  <si>
    <t>ברכת כהן</t>
  </si>
  <si>
    <t>כהנא, קאפל</t>
  </si>
  <si>
    <t>בשבילי המוסר</t>
  </si>
  <si>
    <t>בן אמוזג, אליהו</t>
  </si>
  <si>
    <t>בשבילי מוסר</t>
  </si>
  <si>
    <t>בן אמוזג, אליהו בן אברהם</t>
  </si>
  <si>
    <t>בשערי ספר</t>
  </si>
  <si>
    <t>בן מנחם,נפתלי</t>
  </si>
  <si>
    <t>בתי הכנסיות בארץ - ישראל</t>
  </si>
  <si>
    <t>פינקרפלד, יעקב בן יואל</t>
  </si>
  <si>
    <t>תש"ו</t>
  </si>
  <si>
    <t>בתי כנסת בפולין וחורבנם</t>
  </si>
  <si>
    <t>דוידוביץ, דוד בן יוסף</t>
  </si>
  <si>
    <t>תש"ך</t>
  </si>
  <si>
    <t>גאולת אברהם</t>
  </si>
  <si>
    <t>אברהם בן אליהו מווילנא</t>
  </si>
  <si>
    <t>מועדי ישראל, תנ''ך</t>
  </si>
  <si>
    <t>גבולות הארץ</t>
  </si>
  <si>
    <t>הילדסהיימר, נפתלי צבי - קליין, שמואל</t>
  </si>
  <si>
    <t>גלילות ארץ ישראל</t>
  </si>
  <si>
    <t>יידלש, גרשון בן אליעזר הלוי</t>
  </si>
  <si>
    <t>תשי"ג</t>
  </si>
  <si>
    <t>גנוזות רש"י</t>
  </si>
  <si>
    <t>סגל, יוסף בן ירחמאל</t>
  </si>
  <si>
    <t>גנזי משנה</t>
  </si>
  <si>
    <t>כץ, אברהם יצחק בן ראובן</t>
  </si>
  <si>
    <t>גניבה וגזילה - פרקי יסוד</t>
  </si>
  <si>
    <t>וינרוט, אברהם בן משה אהרן</t>
  </si>
  <si>
    <t>גרים וגירות</t>
  </si>
  <si>
    <t>ליפלאנד, יוסף</t>
  </si>
  <si>
    <t>הלכה ומנהג, תולדות עם ישראל</t>
  </si>
  <si>
    <t>דברי דוד - טורי זהב</t>
  </si>
  <si>
    <t>דוד בן שמואל הלוי</t>
  </si>
  <si>
    <t>דברי הימים לישראל ולאומות העולם</t>
  </si>
  <si>
    <t>ברויאר, מרדכי</t>
  </si>
  <si>
    <t>דברי יהושע - 3 כרכים</t>
  </si>
  <si>
    <t>קניאל, יהושע בן ישראל זליג</t>
  </si>
  <si>
    <t>דרושים, הלכה ומנהג, תולדות עם ישראל</t>
  </si>
  <si>
    <t>דברי יוסף - 2 כרכים</t>
  </si>
  <si>
    <t>קאנוויץ, יוסף בן אליה חיים</t>
  </si>
  <si>
    <t>תשנ"ח</t>
  </si>
  <si>
    <t>דרושים, תנ''ך</t>
  </si>
  <si>
    <t>דברי מלכיאל - 3 כרכים</t>
  </si>
  <si>
    <t>טננבוים, מלכיאל צבי בן יונה הלוי</t>
  </si>
  <si>
    <t>דגל ראובן - ג</t>
  </si>
  <si>
    <t>כ"ץ, ראובן בן שמעון הכהן</t>
  </si>
  <si>
    <t>תשכ"ג</t>
  </si>
  <si>
    <t>דודי נתן - 2 כרכים</t>
  </si>
  <si>
    <t>סגל, נתן דוד בן מאיר אריה</t>
  </si>
  <si>
    <t>דורש טוב</t>
  </si>
  <si>
    <t>פודור, יונה</t>
  </si>
  <si>
    <t>דיוקנאות של מעלה</t>
  </si>
  <si>
    <t>דין השיר</t>
  </si>
  <si>
    <t>מירסקי, אהרן</t>
  </si>
  <si>
    <t>תפלות בקשות פיוטים ושירה</t>
  </si>
  <si>
    <t>דלות הכפירה</t>
  </si>
  <si>
    <t>פיין, בנימין</t>
  </si>
  <si>
    <t>תשע"א</t>
  </si>
  <si>
    <t>דם ודמע בגיטו לודז'</t>
  </si>
  <si>
    <t>הארצשטארק, זושא</t>
  </si>
  <si>
    <t>דמויות ואירועים היסטורים</t>
  </si>
  <si>
    <t>לוין, יצחק בן אהרן</t>
  </si>
  <si>
    <t>דעת כהן</t>
  </si>
  <si>
    <t>דעת עזרא &lt;על פירוש ראב"ע&gt;  - 6 כרכים</t>
  </si>
  <si>
    <t>שינפלד, נחמיה בן משה חיים</t>
  </si>
  <si>
    <t>דקדוק אליהו &lt;מהדורה חדשה&gt;</t>
  </si>
  <si>
    <t>דרישת ציון</t>
  </si>
  <si>
    <t>קאלישר, צבי הירש בן שלמה</t>
  </si>
  <si>
    <t>דרכי רש"י</t>
  </si>
  <si>
    <t>הרצג, ישראל איסר צבי בן דוד</t>
  </si>
  <si>
    <t>תשפ"ב</t>
  </si>
  <si>
    <t>דרש דרש יוסף</t>
  </si>
  <si>
    <t>סולובייצ'יק, יוסף דוב הלוי</t>
  </si>
  <si>
    <t>דרשות בית דוד</t>
  </si>
  <si>
    <t>רובין, דוד טבל בן משה</t>
  </si>
  <si>
    <t>דרושים, מועדי ישראל, תנ''ך</t>
  </si>
  <si>
    <t>דרשות הר"ן השלם מנוקד</t>
  </si>
  <si>
    <t>נסים בן ראובן גירונדי (ר"ן) - קצנלנבוגן, מרדכי ליב</t>
  </si>
  <si>
    <t>דרשות הר"ן השלם עם פירוש בארות משה</t>
  </si>
  <si>
    <t>תשס"ט</t>
  </si>
  <si>
    <t>דרשות נחלת דוד</t>
  </si>
  <si>
    <t>האדם ומידותיו במשנת המהר"ל</t>
  </si>
  <si>
    <t>רז, ראובן</t>
  </si>
  <si>
    <t>האוצר של הסבתא</t>
  </si>
  <si>
    <t>אולינובר, מרים</t>
  </si>
  <si>
    <t>הארי שבחכמי פראג - תולדות המהר"ל מפראג</t>
  </si>
  <si>
    <t>עובדיה, אברהם הכהן (גוטסדינר)</t>
  </si>
  <si>
    <t>האתרוג</t>
  </si>
  <si>
    <t>גולדשמידט, אליעזר - בר-יוסף, משה</t>
  </si>
  <si>
    <t>הבית השני בתפארתו</t>
  </si>
  <si>
    <t>אייבשיץ, אלחנן</t>
  </si>
  <si>
    <t>תשנ"ו</t>
  </si>
  <si>
    <t>הגדה של פסח &lt;יד מצרים&gt;</t>
  </si>
  <si>
    <t>הגדה של פסח &lt;שירת מרים&gt; - הגדה ממקורה</t>
  </si>
  <si>
    <t>רימון, יוסף צבי</t>
  </si>
  <si>
    <t>הגדה של פסח &lt;מדה כנגד מדה&gt; - 2 כרכים</t>
  </si>
  <si>
    <t>פסין, אהרן יהושע</t>
  </si>
  <si>
    <t>הגדה של פסח עם באור אור ישרים</t>
  </si>
  <si>
    <t>הלר, יחיאל בן אהרן</t>
  </si>
  <si>
    <t>הגדה של פסח עם ביאור תולדות אדם &lt;מהדורה חדשה&gt;</t>
  </si>
  <si>
    <t>דנציג, אברהם בן יחיאל מיכל</t>
  </si>
  <si>
    <t>הגדה של פסח עם פירוש זבח פסח</t>
  </si>
  <si>
    <t>אברבנאל, יצחק בן יהודה</t>
  </si>
  <si>
    <t>הגדה של פסח עם פירוש עולת ראיה</t>
  </si>
  <si>
    <t>הגדה של פסח עם תורת הראשונים</t>
  </si>
  <si>
    <t>אריאלי, אביגדור - קובץ ראשונים</t>
  </si>
  <si>
    <t>הגדת אור טוביה</t>
  </si>
  <si>
    <t>הגות במדרשי האגדות</t>
  </si>
  <si>
    <t>הגות במחשבת ישראל המקורית</t>
  </si>
  <si>
    <t>ביק, אברהם</t>
  </si>
  <si>
    <t>הגות והלכה</t>
  </si>
  <si>
    <t>נובל, נחמיה צבי</t>
  </si>
  <si>
    <t>דרושים, הלכה ומנהג, נושאים שונים, קבצים וכתבי עת, ספרי זכרון ויובל, תולדות עם ישראל</t>
  </si>
  <si>
    <t>הגיוני הלכה</t>
  </si>
  <si>
    <t>מירסקי, יצחק</t>
  </si>
  <si>
    <t>תשמ"ט</t>
  </si>
  <si>
    <t>הדפוס העברי בקרימונה</t>
  </si>
  <si>
    <t xml:space="preserve">בניהו, מאיר </t>
  </si>
  <si>
    <t>הדקדוק כיסוד בהלכה</t>
  </si>
  <si>
    <t>ילין, יצחק יעקב</t>
  </si>
  <si>
    <t>תשל"ג</t>
  </si>
  <si>
    <t>הדר איתמר</t>
  </si>
  <si>
    <t>רבינוביץ, נחום אליעזר בן איתמר</t>
  </si>
  <si>
    <t>הדרת אליהו</t>
  </si>
  <si>
    <t>הדרת קודש</t>
  </si>
  <si>
    <t>אליהו בן שלמה זלמן (הגר"א) - קמינצקי, דוד</t>
  </si>
  <si>
    <t>תשע"ד</t>
  </si>
  <si>
    <t>ההלכה כוחה ותפקידה</t>
  </si>
  <si>
    <t>ברקוביץ, אליעזר</t>
  </si>
  <si>
    <t>הלכה ומנהג, מחשבה ומוסר</t>
  </si>
  <si>
    <t>ההר הטוב</t>
  </si>
  <si>
    <t>מעיני, דוב</t>
  </si>
  <si>
    <t>החוזה מלובלין</t>
  </si>
  <si>
    <t>החזקה במשפט העברי</t>
  </si>
  <si>
    <t>ורהפטיג, זרח</t>
  </si>
  <si>
    <t>החתם סופר - חייו ויצירתו</t>
  </si>
  <si>
    <t>כץ, אליעזר</t>
  </si>
  <si>
    <t>תש"כ</t>
  </si>
  <si>
    <t>היהדות במאבקה</t>
  </si>
  <si>
    <t>גלמן, אריה ליב בן יוסף</t>
  </si>
  <si>
    <t>תשט"ז</t>
  </si>
  <si>
    <t>הירושלמי המפורש - ברכות</t>
  </si>
  <si>
    <t>גורן, שלמה בן אברהם</t>
  </si>
  <si>
    <t>תלמוד ירושלמי</t>
  </si>
  <si>
    <t>הכהנים ועבודתם</t>
  </si>
  <si>
    <t>ביכלר, אברהם בן מרדכי</t>
  </si>
  <si>
    <t>הכוזרי השני מטה דן</t>
  </si>
  <si>
    <t>ניטו, דוד בן פינחס</t>
  </si>
  <si>
    <t>תשי"ח</t>
  </si>
  <si>
    <t>הכתב והקבלה &lt;מוה"ק&gt;  - 2 כרכים</t>
  </si>
  <si>
    <t>מקלנבורג, יעקב צבי בן גמליאל</t>
  </si>
  <si>
    <t>הליכות שבא</t>
  </si>
  <si>
    <t>אלמולי, שלמה בן יעקב</t>
  </si>
  <si>
    <t>תש"ה</t>
  </si>
  <si>
    <t>הלכה ממקורה</t>
  </si>
  <si>
    <t>הלכות גדולות &lt;מוה"ק&gt; - 2 כרכים</t>
  </si>
  <si>
    <t>קיירא, שמעון</t>
  </si>
  <si>
    <t>הלכות והליכות</t>
  </si>
  <si>
    <t>לאם, נחום</t>
  </si>
  <si>
    <t>תש"נ</t>
  </si>
  <si>
    <t>הלכות והליכות בחסידות</t>
  </si>
  <si>
    <t>ורטהיים, אהרן</t>
  </si>
  <si>
    <t>הלכות פסוקות השלם - 4 כרכים</t>
  </si>
  <si>
    <t>יהודאי בן נחמן גאון</t>
  </si>
  <si>
    <t>הלכות פסוקות מן הגניזה</t>
  </si>
  <si>
    <t>הלכות רב אלפס - מסכת עבודה זרה</t>
  </si>
  <si>
    <t>אלפאסי, יצחק בן יעקב (רי"ף)</t>
  </si>
  <si>
    <t>הלכות רב אלפס &lt;מוה"ק&gt;  - 3 כרכים</t>
  </si>
  <si>
    <t>הלכות רופאים ורפואה</t>
  </si>
  <si>
    <t>שטיינברג, אברהם</t>
  </si>
  <si>
    <t>הלכות תפילה</t>
  </si>
  <si>
    <t>ברופסקי, דוד</t>
  </si>
  <si>
    <t>הלכות תשובה לרמב"ם &lt;מוה"ק&gt;</t>
  </si>
  <si>
    <t>משה בן מימון (רמב"ם)</t>
  </si>
  <si>
    <t>הלשון העברית בישראל ובעמים</t>
  </si>
  <si>
    <t>פדרבוש, שמעון בן צבי הרש</t>
  </si>
  <si>
    <t>המדרש לאור השפת אמת הפרי צדיק והשם משמואל</t>
  </si>
  <si>
    <t>המורה לדורות - רבינו משה בן מימון</t>
  </si>
  <si>
    <t>אוריין, מאיר</t>
  </si>
  <si>
    <t>תשס"ה</t>
  </si>
  <si>
    <t>המידות לחקר ההלכה - 2 כרכים</t>
  </si>
  <si>
    <t>עמיאל, משה אביגדור בן יעקב יוסף</t>
  </si>
  <si>
    <t>המית הלב</t>
  </si>
  <si>
    <t>מירסקי, דניאל</t>
  </si>
  <si>
    <t>המלבי"ם</t>
  </si>
  <si>
    <t>רוזנבלום, נח ח.</t>
  </si>
  <si>
    <t>הממדים. הנבואה. האדמתנות</t>
  </si>
  <si>
    <t>גפן, שם טוב</t>
  </si>
  <si>
    <t>המצוות כסמלים</t>
  </si>
  <si>
    <t>המצפה על הרמב"ם - 3 כרכים</t>
  </si>
  <si>
    <t>פולין, משה צבי בן אברהם נח</t>
  </si>
  <si>
    <t>המקרא ברמב"ם</t>
  </si>
  <si>
    <t>קאפח, יוסף בן דוד</t>
  </si>
  <si>
    <t>המקרא והמסורה</t>
  </si>
  <si>
    <t>מרגליות, ראובן בן משה</t>
  </si>
  <si>
    <t>תולדות עם ישראל, תנ''ך</t>
  </si>
  <si>
    <t>המשפט העברי ומדינת ישראל</t>
  </si>
  <si>
    <t>בזק, יעקב</t>
  </si>
  <si>
    <t>הסכמה ורשות בדפוסי ויניציאה</t>
  </si>
  <si>
    <t>הסנהדרין</t>
  </si>
  <si>
    <t>גינתון, נפתלי</t>
  </si>
  <si>
    <t>הסניגוריה במשנת הרב קוק</t>
  </si>
  <si>
    <t>אפרתי, בנימין</t>
  </si>
  <si>
    <t>תשי"ט</t>
  </si>
  <si>
    <t>הספר - 2 כרכים</t>
  </si>
  <si>
    <t>מובשוביץ, יוסף אליהו (עורך)</t>
  </si>
  <si>
    <t>הערוך &lt;יקר הערך&gt; - שבת</t>
  </si>
  <si>
    <t>נתן בן יחיאל מרומא - הלוי, יוסף בן נפתלי הירץ</t>
  </si>
  <si>
    <t>הפרשנות הרעיונית לתורה</t>
  </si>
  <si>
    <t>ירולשים</t>
  </si>
  <si>
    <t>הקהל</t>
  </si>
  <si>
    <t>קובץ</t>
  </si>
  <si>
    <t>הקיבוץ הטהור והנבחר בארץ ישראל</t>
  </si>
  <si>
    <t>רבפוגל, משה מאיר</t>
  </si>
  <si>
    <t>הקינות לאור המדרש</t>
  </si>
  <si>
    <t>מועדי ישראל, תפלות בקשות פיוטים ושירה</t>
  </si>
  <si>
    <t>הרא"ש - רבנו אשר ב"ר יחיאל וצאצאיו</t>
  </si>
  <si>
    <t>פריימן, אברהם חיים</t>
  </si>
  <si>
    <t>הראי"ה</t>
  </si>
  <si>
    <t>קובץ  מאמרים</t>
  </si>
  <si>
    <t>הרב מימון בדורותיו</t>
  </si>
  <si>
    <t>הרבי מקוצק</t>
  </si>
  <si>
    <t>הרמ"א</t>
  </si>
  <si>
    <t>זיו, אשר</t>
  </si>
  <si>
    <t>הרמב"ם ללא סטיה מן התלמוד</t>
  </si>
  <si>
    <t>הרפואה והיהדות</t>
  </si>
  <si>
    <t>יעקובוביץ, עמנואל</t>
  </si>
  <si>
    <t>הרצאות על כתבי יד עבריים</t>
  </si>
  <si>
    <t>שטיינשניידר, משה</t>
  </si>
  <si>
    <t>השומר גופי אנכי</t>
  </si>
  <si>
    <t>קאופמן, מיכאל</t>
  </si>
  <si>
    <t>התקנות בישראל - 4 כרכים</t>
  </si>
  <si>
    <t>ופקדת נוך</t>
  </si>
  <si>
    <t>אברהמוב, ארז</t>
  </si>
  <si>
    <t>זבחי ראיה</t>
  </si>
  <si>
    <t>זה היום עשה ה'</t>
  </si>
  <si>
    <t>ישראלי, שאול</t>
  </si>
  <si>
    <t>זהר חדש עם ניצוצי זהר</t>
  </si>
  <si>
    <t>זוהר חדש</t>
  </si>
  <si>
    <t>קבלה</t>
  </si>
  <si>
    <t>זכר מרדכי</t>
  </si>
  <si>
    <t>ספר זכרון</t>
  </si>
  <si>
    <t>זכרון יעקב</t>
  </si>
  <si>
    <t>זובר, יעקב ישראל</t>
  </si>
  <si>
    <t>זכרון צבי</t>
  </si>
  <si>
    <t>הורוויץ, צבי הלוי</t>
  </si>
  <si>
    <t>זכרון ראי"ה</t>
  </si>
  <si>
    <t>זמרת יהודה - 2 כרכים</t>
  </si>
  <si>
    <t>אביטן, חזן יהודה</t>
  </si>
  <si>
    <t>חבש פאר</t>
  </si>
  <si>
    <t>חומש עם ביאור כל אתין שבתורה - 2 כרכים</t>
  </si>
  <si>
    <t>חומש רמב"ן ע"פ אור לעינים - 7 כרכים</t>
  </si>
  <si>
    <t>משה בן נחמן (רמב"ן) - הלחמי, שמואל נחום</t>
  </si>
  <si>
    <t>חוקת עולם ורזי עולם</t>
  </si>
  <si>
    <t>שפרן, אלכסנדר יהודה</t>
  </si>
  <si>
    <t>חזון ההתנחלות בגליל</t>
  </si>
  <si>
    <t>הרוזן, יעקב</t>
  </si>
  <si>
    <t>חזון והגשמה</t>
  </si>
  <si>
    <t>שרגאי, שלמה זלמן בן משה</t>
  </si>
  <si>
    <t>חזון תורה וציון</t>
  </si>
  <si>
    <t>חזקוני &lt;מוה"ק&gt;</t>
  </si>
  <si>
    <t>חזקיה בן מנוח</t>
  </si>
  <si>
    <t>חיבור התשובה &lt;מוסד הרב קוק&gt;</t>
  </si>
  <si>
    <t>חיבור יפה מהישועה</t>
  </si>
  <si>
    <t>נסים בן יעקב מקירואן</t>
  </si>
  <si>
    <t>תשי"ד</t>
  </si>
  <si>
    <t>חידושי הגר"מ והגרי"ד</t>
  </si>
  <si>
    <t>סולובייצ'יק, יוסף דוב בן משה הלוי - סולובייצ'יק, משה בן חיים</t>
  </si>
  <si>
    <t>חידושי המאירי על מסכת  עירובין - 3 כרכים</t>
  </si>
  <si>
    <t>מאירי, מנחם בן שלמה - ברוידא, שמחה זיסל בן חזקיהו אברהם</t>
  </si>
  <si>
    <t>חידושי הר"ן &lt;מוה"ק&gt;  - 11 כרכים</t>
  </si>
  <si>
    <t>נסים בן ראובן גירונדי (ר"ן)</t>
  </si>
  <si>
    <t>חידושי הריטב"א &lt;מוה"ק&gt;  - 26 כרכים</t>
  </si>
  <si>
    <t>יום טוב בן אברהם אשבילי (ריטב"א)</t>
  </si>
  <si>
    <t>חידושי הריצ"ד - 4 כרכים</t>
  </si>
  <si>
    <t>דינר, יוסף צבי הלוי</t>
  </si>
  <si>
    <t>משנה, שאר ספרי חז''ל</t>
  </si>
  <si>
    <t>חידושי הרמב"ן &lt;מוה"ק&gt; - 2 כרכים</t>
  </si>
  <si>
    <t>משה בן נחמן (רמב"ן)</t>
  </si>
  <si>
    <t>חידושי הרשב"א &lt;מוה"ק&gt;   - 21 כרכים</t>
  </si>
  <si>
    <t>בן אדרת, שלמה בן אברהם (רשב"א)</t>
  </si>
  <si>
    <t>חידושי וביאורי הגר"א על הש"ס - 6 כרכים</t>
  </si>
  <si>
    <t>חיי הרמב"ם</t>
  </si>
  <si>
    <t>תרצ"ה</t>
  </si>
  <si>
    <t>חינוך והוראה</t>
  </si>
  <si>
    <t>עציון, יצחק רפאל הלוי</t>
  </si>
  <si>
    <t>חכמה פנימית וחכמה חיצונית</t>
  </si>
  <si>
    <t>חכמי התלמוד - א</t>
  </si>
  <si>
    <t>אומאנסקי, יוסף בן חיים ישראל</t>
  </si>
  <si>
    <t>תש"ט - תשי"ב</t>
  </si>
  <si>
    <t>חכמי ישראל כרופאים</t>
  </si>
  <si>
    <t>מרגלית, דוד</t>
  </si>
  <si>
    <t>חכמת בצלאל פתחי נדה</t>
  </si>
  <si>
    <t>רנשבורג, בצלאל בן יואל</t>
  </si>
  <si>
    <t>חכמת התשבורת - המתמטיקה באספקלריה יהודית</t>
  </si>
  <si>
    <t>רוזנבוים, רחל</t>
  </si>
  <si>
    <t>חמשה חומשי תורה עם פירוש אור החיים &lt;מוה"ק&gt;  - 6 כרכים</t>
  </si>
  <si>
    <t>בן עטר, חיים בן משה</t>
  </si>
  <si>
    <t>חן וחסד</t>
  </si>
  <si>
    <t>חקרי הלכה</t>
  </si>
  <si>
    <t>וויין, דוב בערל</t>
  </si>
  <si>
    <t>חקרי זמנים - 2 כרכים</t>
  </si>
  <si>
    <t>הילביץ, אלתר</t>
  </si>
  <si>
    <t>חקרי יהדות</t>
  </si>
  <si>
    <t>חקרי מקרא</t>
  </si>
  <si>
    <t>זיידל, משה</t>
  </si>
  <si>
    <t>חשבון הנפש &lt;מהדורת מוסד הרב קוק&gt;</t>
  </si>
  <si>
    <t>לפין, מנחם מנדל בן יהודה ליב</t>
  </si>
  <si>
    <t>חשבונו של עולם - 3 כרכים</t>
  </si>
  <si>
    <t>טמירין - 2 כרכים</t>
  </si>
  <si>
    <t>וינשטוק, ישראל  (עורך)</t>
  </si>
  <si>
    <t>תשמ"ב</t>
  </si>
  <si>
    <t>יד אליהו - 6 כרכים</t>
  </si>
  <si>
    <t>שולזינגר, אליהו</t>
  </si>
  <si>
    <t>יהדות איראן וספרות רבנית</t>
  </si>
  <si>
    <t>צדיק, דניאל</t>
  </si>
  <si>
    <t>יהדות ברוסיה הסוביטית</t>
  </si>
  <si>
    <t>גרשוני, אהרן אליהו בן ישראל גרשון</t>
  </si>
  <si>
    <t>יהדות ליטא</t>
  </si>
  <si>
    <t>ליטא. יהדות ליטא</t>
  </si>
  <si>
    <t>יהודה וירושלם</t>
  </si>
  <si>
    <t>עתונו של ר' יואל משה סלומון</t>
  </si>
  <si>
    <t>יהושע שופטים עם פירוש רש"י</t>
  </si>
  <si>
    <t>קצנלנבוגן, מרדכי ליב (עריכה והערות) - שלמה בן יצחק (רש"י)</t>
  </si>
  <si>
    <t>תשמ"ז</t>
  </si>
  <si>
    <t>יובל המאה של המזרחי</t>
  </si>
  <si>
    <t>ספר יובל</t>
  </si>
  <si>
    <t>יובל סיני - 2 כרכים</t>
  </si>
  <si>
    <t>קובץ סיני כרך המאה</t>
  </si>
  <si>
    <t>יודע העתים</t>
  </si>
  <si>
    <t>יחוסי תנאים ואמוראים &lt;מהדורת מימון&gt;</t>
  </si>
  <si>
    <t>יהודה בן קלונימוס משפירא</t>
  </si>
  <si>
    <t>ילקוט שמעוני &lt;מוה"ק&gt;  - 11 כרכים</t>
  </si>
  <si>
    <t>שמעון הדרשן מפראנקפורט</t>
  </si>
  <si>
    <t>יסוד דקדוק הוא שפת יתר</t>
  </si>
  <si>
    <t>יסוד המשנה ועריכתה</t>
  </si>
  <si>
    <t>תש"ן</t>
  </si>
  <si>
    <t>משנה, נושאים שונים</t>
  </si>
  <si>
    <t>יסוד מורא וסוד תורה &lt;מהדורת מוה"ק&gt;</t>
  </si>
  <si>
    <t>הלכה ומנהג, מחשבה ומוסר, נושאים שונים</t>
  </si>
  <si>
    <t>יקר תפארת</t>
  </si>
  <si>
    <t>בן זמרא, דוד בן שלמה אבי (רדב"ז)</t>
  </si>
  <si>
    <t>ירושלים - ד</t>
  </si>
  <si>
    <t>תש"ח - תשט"ו</t>
  </si>
  <si>
    <t>ירושלים עיר הקודש והמקדש</t>
  </si>
  <si>
    <t>יריעות שלמה &lt;מוה"ק&gt;</t>
  </si>
  <si>
    <t>פאפנהיים, שלמה בן זליגמאן</t>
  </si>
  <si>
    <t>ישראל והאנושות</t>
  </si>
  <si>
    <t>ישראל ושורשיו</t>
  </si>
  <si>
    <t>ישראל תורה ציון</t>
  </si>
  <si>
    <t>כדת משה וישראל</t>
  </si>
  <si>
    <t>כ"ץ, איתיאל</t>
  </si>
  <si>
    <t>כוס אליהו</t>
  </si>
  <si>
    <t>שפרן, אליהו בן יוסף</t>
  </si>
  <si>
    <t>תש"ע</t>
  </si>
  <si>
    <t>כחלום יעוף</t>
  </si>
  <si>
    <t>סתיו, אברהם</t>
  </si>
  <si>
    <t>כי עת לחננה</t>
  </si>
  <si>
    <t>פרידמן, ראובן</t>
  </si>
  <si>
    <t>כלי החרס בספרות התלמוד</t>
  </si>
  <si>
    <t>בראנד, יהושע בן שלום</t>
  </si>
  <si>
    <t>כלי זכוכית בספרות התלמוד</t>
  </si>
  <si>
    <t>בראנד, יהושע</t>
  </si>
  <si>
    <t>כללי התלמוד בדברי הרמב"ן</t>
  </si>
  <si>
    <t>כפתור ופרח &lt;פרחי ציון&gt; מוסד הרב קוק</t>
  </si>
  <si>
    <t>אשתורי בן משה הפרחי</t>
  </si>
  <si>
    <t>כרם רידב"ז</t>
  </si>
  <si>
    <t>וילובסקי, יעקב דוד</t>
  </si>
  <si>
    <t>תשנ"ה</t>
  </si>
  <si>
    <t>כתבי הרב נתן פרידלאנד - 2 כרכים</t>
  </si>
  <si>
    <t>פרידלאנד, נתן בן יוסף</t>
  </si>
  <si>
    <t>כתבי מהר"ל מפראג - 2 כרכים</t>
  </si>
  <si>
    <t>יהודה ליווא בן בצלאל (מהר"ל מפראג)</t>
  </si>
  <si>
    <t>כתבי ר' אברהם אפשטיין - 2 כרכים</t>
  </si>
  <si>
    <t>אפשטיין, אברהם בן ישראל</t>
  </si>
  <si>
    <t>תש"י - תשי"ז</t>
  </si>
  <si>
    <t>כתבי רבי מאיר בר - אילן - א</t>
  </si>
  <si>
    <t>בר-אילן, מאיר בן נפתלי צבי יהודה</t>
  </si>
  <si>
    <t>כתבי רבי עובדיה ספורנו</t>
  </si>
  <si>
    <t>משנה, נושאים שונים, שאלות ותשובות, תנ''ך</t>
  </si>
  <si>
    <t>כתבי רבינו בחיי - כד הקמח, שלחן של ארבע, פרקי אבות</t>
  </si>
  <si>
    <t>בחיי בן אשר אבן חלאוה</t>
  </si>
  <si>
    <t>הלכה ומנהג, מחשבה ומוסר, משנה</t>
  </si>
  <si>
    <t>כתבי רבינו משה בן נחמן (רמב"ן) א &lt;מוה"ק&gt; - 2 כרכים</t>
  </si>
  <si>
    <t>דרושים, מחשבה ומוסר, תנ''ך, תפלות בקשות פיוטים ושירה</t>
  </si>
  <si>
    <t>כתבים רפואיים - 4 כרכים</t>
  </si>
  <si>
    <t>ת"ש - תש"ב</t>
  </si>
  <si>
    <t>כתר ארם צובה והנוסח המקובל של המקרא</t>
  </si>
  <si>
    <t>לאור ההלכה</t>
  </si>
  <si>
    <t>זווין, שלמה יוסף בן אהרן מרדכי</t>
  </si>
  <si>
    <t>לב שלמה</t>
  </si>
  <si>
    <t>שלמה בן משה מחלמא</t>
  </si>
  <si>
    <t>לדרך טעמי המצות</t>
  </si>
  <si>
    <t>לוח לששת אלפים שנה</t>
  </si>
  <si>
    <t>עקביא, אברהם אריה</t>
  </si>
  <si>
    <t>ליקוטי אבידה</t>
  </si>
  <si>
    <t>שרייבר, יום טוב ישראל פישל</t>
  </si>
  <si>
    <t>לכבוד יום טוב</t>
  </si>
  <si>
    <t>נושאים שונים, קבצים וכתבי עת, ספרי זכרון ויובל</t>
  </si>
  <si>
    <t>לכתך אחרי במדבר</t>
  </si>
  <si>
    <t>גוטל, שלמה</t>
  </si>
  <si>
    <t>ללשונות הרמב"ם - א</t>
  </si>
  <si>
    <t>הילביץ, אלתר בן מנחם הלוי</t>
  </si>
  <si>
    <t>למען ציון לא אחשה - 2 כרכים</t>
  </si>
  <si>
    <t>לפני ולפנים</t>
  </si>
  <si>
    <t>מועדי ישראל, נושאים שונים</t>
  </si>
  <si>
    <t>לקט ראשונים על מסכת סוטה</t>
  </si>
  <si>
    <t>ליפשיץ, יעקב הלוי (עריכה והערות) - קובץ ראשונים</t>
  </si>
  <si>
    <t>לשון למודים</t>
  </si>
  <si>
    <t>לוצאטו, משה חיים בן יעקב חי (רמח"ל)</t>
  </si>
  <si>
    <t>לשעה ולדור</t>
  </si>
  <si>
    <t>לתולדות הקהילות בפולין</t>
  </si>
  <si>
    <t>לתולדות הקהלה האשכנזית בארץ - ישראל</t>
  </si>
  <si>
    <t>רפאל, יצחק בן שמואל צבי</t>
  </si>
  <si>
    <t>תרצ"ט</t>
  </si>
  <si>
    <t>מאורות הגר"א</t>
  </si>
  <si>
    <t>הלכה ומנהג, נושאים שונים, תלמוד בבלי</t>
  </si>
  <si>
    <t>מאמרות</t>
  </si>
  <si>
    <t>שפרבר, שמואל</t>
  </si>
  <si>
    <t>מועדי ישראל, מחשבה ומוסר, נושאים שונים</t>
  </si>
  <si>
    <t>מאמרי טוביה - 7 כרכים</t>
  </si>
  <si>
    <t>פרשל, טוביה</t>
  </si>
  <si>
    <t>מבוא למדע האלהי</t>
  </si>
  <si>
    <t>מבוא למדע האלקי</t>
  </si>
  <si>
    <t>רבפוגל, משה מאיר בן שאול</t>
  </si>
  <si>
    <t>מבוקר לערב</t>
  </si>
  <si>
    <t>מבחר המסה והמאמר</t>
  </si>
  <si>
    <t>מבחר הפיוט והשירה של ימי הבינים</t>
  </si>
  <si>
    <t>מבחר הפיוט והשירה</t>
  </si>
  <si>
    <t>מבחר כתבי ישראל דב פרומקין</t>
  </si>
  <si>
    <t>פרומקין, ישראל דוב בן אלכסנדר סנדר</t>
  </si>
  <si>
    <t>מבחר כתבים</t>
  </si>
  <si>
    <t>שטראשון, מתתיהו בן שמואל</t>
  </si>
  <si>
    <t>מבחר מספרות העיון של ימי הביניים ומספרות המוסר</t>
  </si>
  <si>
    <t>מבחר מספרות העיון</t>
  </si>
  <si>
    <t>מבטאי שפתנו</t>
  </si>
  <si>
    <t>גומפרץ, יחיאל גדליהו בן אלחנן</t>
  </si>
  <si>
    <t>מגילת אסתר &lt;עקדת יצחק, מחיר יין&gt;</t>
  </si>
  <si>
    <t>עראמה, יצחק בן משה - אבידור, יובל - איסרלש, משה בן ישראל (רמ"א)</t>
  </si>
  <si>
    <t>מגילת אסתר &lt;מחיר יין&gt;</t>
  </si>
  <si>
    <t>איסרלש, משה בן ישראל (רמ"א) - אבידור, יובל</t>
  </si>
  <si>
    <t>מגילת אסתר &lt;מדה כנגד מדה&gt; - 2 כרכים</t>
  </si>
  <si>
    <t>מגילת רות &lt;החסד והטוב&gt;</t>
  </si>
  <si>
    <t>מונק, יחיאל אריה בן משה אליהו הכהן</t>
  </si>
  <si>
    <t>מדה כנגד מדה - 3 כרכים</t>
  </si>
  <si>
    <t>מדי חודש בחדשו - 8 כרכים</t>
  </si>
  <si>
    <t>תשט"ו - תשכ"ב</t>
  </si>
  <si>
    <t>מדין לרחמים</t>
  </si>
  <si>
    <t>שפירא, מלכה</t>
  </si>
  <si>
    <t>חסידות, נושאים שונים, תולדות עם ישראל</t>
  </si>
  <si>
    <t>מדרש בראשית זוטא</t>
  </si>
  <si>
    <t>מסנות, שמואל בן נסים</t>
  </si>
  <si>
    <t>שאר ספרי חז''ל, תולדות עם ישראל, תנ''ך</t>
  </si>
  <si>
    <t>מדרש הגדול &lt;מוה"ק&gt;  - 10 כרכים</t>
  </si>
  <si>
    <t>מדרש הגדול. מוסד הרב קוק.</t>
  </si>
  <si>
    <t>תשנ"ז</t>
  </si>
  <si>
    <t>שאר ספרי חז''ל, תנ''ך</t>
  </si>
  <si>
    <t>מדרש החפץ - 2 כרכים</t>
  </si>
  <si>
    <t>זכריה בן שלמה, הרופא (אלטביב, יחיא בן סלימאן)</t>
  </si>
  <si>
    <t>תשנ"א</t>
  </si>
  <si>
    <t>מדרש הרב</t>
  </si>
  <si>
    <t>אגודת מדרש הרב, ירושלים</t>
  </si>
  <si>
    <t>תרצ"ז</t>
  </si>
  <si>
    <t>מדרש רבי דוד הנגיד - 2 כרכים</t>
  </si>
  <si>
    <t>דוד בן אברהם הנגיד</t>
  </si>
  <si>
    <t>מדרש תנאים לבראשית</t>
  </si>
  <si>
    <t>מירסקי, אהרן בן יהושע יצחק (מלקט)</t>
  </si>
  <si>
    <t>מהר"ץ חיות</t>
  </si>
  <si>
    <t>הרשקוביץ, מאיר</t>
  </si>
  <si>
    <t>מוטיבים מקבילים</t>
  </si>
  <si>
    <t>נאמן, יהודה</t>
  </si>
  <si>
    <t>מוסדות ותארים בספרות התלמוד</t>
  </si>
  <si>
    <t>אמיר, אברהם שאול</t>
  </si>
  <si>
    <t>נושאים שונים, תולדות עם ישראל, תלמוד בבלי</t>
  </si>
  <si>
    <t>מוסר אביך ומדות הראיה</t>
  </si>
  <si>
    <t>מוסר המקרא והתלמוד</t>
  </si>
  <si>
    <t>פינס, שלמה זלמן בן דוב</t>
  </si>
  <si>
    <t>תש"ח</t>
  </si>
  <si>
    <t>מועדי קדשך</t>
  </si>
  <si>
    <t>מורה הנבוכים &lt;מוה"ק&gt;</t>
  </si>
  <si>
    <t>מורה הנבוכים &lt;מקור ותרגום&gt;  - 3 כרכים</t>
  </si>
  <si>
    <t>מורה נבוכים &lt;מוה"ק&gt;  - 4 כרכים</t>
  </si>
  <si>
    <t>מורה נבוכים לרמב"ם על התורה</t>
  </si>
  <si>
    <t>משה בן מימון (רמב"ם) - מקובר, דוד</t>
  </si>
  <si>
    <t>מורה נבוכים על התורה (באנגלית)</t>
  </si>
  <si>
    <t>מורשת משה</t>
  </si>
  <si>
    <t>רוזנפלד, חיים מאיר אהרן הלוי</t>
  </si>
  <si>
    <t>מחזור שיח בשדה - 2 כרכים</t>
  </si>
  <si>
    <t>מובשוביץ, ישראל בן שמואל דוד</t>
  </si>
  <si>
    <t>מחקרים בברייתא ותוספתא ויחסן לתלמוד</t>
  </si>
  <si>
    <t>אלבק, חנוך בן שלום</t>
  </si>
  <si>
    <t>מחקרים בדרכי התלמוד וחידותיו - עוללות</t>
  </si>
  <si>
    <t>מחקרים בספרות העברית של ימי הביניים</t>
  </si>
  <si>
    <t>קויפמן, דוד</t>
  </si>
  <si>
    <t>מחקרים בספרות התלמוד</t>
  </si>
  <si>
    <t>דה-פריס, בנימין</t>
  </si>
  <si>
    <t>מחקרים בספרות התשובות</t>
  </si>
  <si>
    <t>כהנא, יצחק זאב</t>
  </si>
  <si>
    <t>מחקרים בתולדות היהודים בארץ ישראל ובארצות המזרח</t>
  </si>
  <si>
    <t>תמר, דוד</t>
  </si>
  <si>
    <t>מחקרים בתלמוד</t>
  </si>
  <si>
    <t>וייס, אברהם</t>
  </si>
  <si>
    <t>מחקרים בתקופת המשנה והתלמוד</t>
  </si>
  <si>
    <t>מי באר - מסכת שבועות</t>
  </si>
  <si>
    <t>יעקבזון, חיים מנחם בן ישראל</t>
  </si>
  <si>
    <t>מכלול המאמרים והפתגמים - 2 כרכים</t>
  </si>
  <si>
    <t>סבר, משה</t>
  </si>
  <si>
    <t>מכתבים מזוייפים נגד הציונות על שמם של גדולי ישראל</t>
  </si>
  <si>
    <t>וינגרטן, שמואל הכהן</t>
  </si>
  <si>
    <t>מלאכי עליון</t>
  </si>
  <si>
    <t>מלות ההגיון</t>
  </si>
  <si>
    <t>מלחמות השם</t>
  </si>
  <si>
    <t>אברהם בן משה בן מימון</t>
  </si>
  <si>
    <t>מלחמת המגן והישועה</t>
  </si>
  <si>
    <t>כהן, יונה</t>
  </si>
  <si>
    <t>ממך אליך אברח</t>
  </si>
  <si>
    <t>בן-נון, אברהם</t>
  </si>
  <si>
    <t>ממעיני קדם</t>
  </si>
  <si>
    <t>קפלן, צבי</t>
  </si>
  <si>
    <t>ממשנתם של חכמי פראג - 2 כרכים</t>
  </si>
  <si>
    <t>ממשנתם של חכמי פראג</t>
  </si>
  <si>
    <t>מן המצר קראתי</t>
  </si>
  <si>
    <t>פראגר, משה בן שמואל יחזקאל</t>
  </si>
  <si>
    <t>מנהגי ארץ ישראל</t>
  </si>
  <si>
    <t>גליס, יעקב</t>
  </si>
  <si>
    <t>מנהגי ישראל - 8 כרכים</t>
  </si>
  <si>
    <t>שפרבר, דניאל</t>
  </si>
  <si>
    <t>מנורת המאור &lt;מוה"ק&gt;</t>
  </si>
  <si>
    <t>אבוהב, יצחק בן אברהם (הראשון)</t>
  </si>
  <si>
    <t>מנחת יהודה - א (בראשית)</t>
  </si>
  <si>
    <t>יהודה בן אלעזר (מבעלי התוספות)</t>
  </si>
  <si>
    <t>מנחת פתים &lt;מוה"ק&gt;  - 2 כרכים</t>
  </si>
  <si>
    <t>ארנטרוי, חנוך בן יונה הכהן</t>
  </si>
  <si>
    <t>מסוד חכמים</t>
  </si>
  <si>
    <t>מסות ומסעות</t>
  </si>
  <si>
    <t>ליהמן, מנשה רפאל בן חיים</t>
  </si>
  <si>
    <t>מסילת ישרים עם ביאורים ישרים</t>
  </si>
  <si>
    <t>לוצאטו, משה חיים בן יעקב חי (רמח"ל) - מקובר, דוד</t>
  </si>
  <si>
    <t>מסילת ישרים עם פירוש מסילות יהודה</t>
  </si>
  <si>
    <t>לוצאטו, משה חיים בן יעקב חי (רמח"ל) - הלחמי, שמואל נחום</t>
  </si>
  <si>
    <t>מסכת אבות עם פירוש רש"ר הירש</t>
  </si>
  <si>
    <t>משנה</t>
  </si>
  <si>
    <t>מעבר להרים</t>
  </si>
  <si>
    <t>אבן-חן, יעקב צבי בן יצחק אלחנן</t>
  </si>
  <si>
    <t>מערכות האמוראים - 3 כרכים</t>
  </si>
  <si>
    <t>קאנוביץ, ישראל</t>
  </si>
  <si>
    <t>מערכות תנאים - 12 כרכים</t>
  </si>
  <si>
    <t>מערכי לב</t>
  </si>
  <si>
    <t>לב, זאב בן נחום הלוי</t>
  </si>
  <si>
    <t>מעשה הבא בעבירה</t>
  </si>
  <si>
    <t>שוחטמן, אליאב</t>
  </si>
  <si>
    <t>מעשה רב &lt;מוה"ק&gt;</t>
  </si>
  <si>
    <t>יששכר דוב בר בן תנחום - מובשוביץ, יוסף אליהו הלוי</t>
  </si>
  <si>
    <t>מפי בעלי לשונות</t>
  </si>
  <si>
    <t>אברמסון, שרגא</t>
  </si>
  <si>
    <t>מפירושי רב סעדיה למקרא</t>
  </si>
  <si>
    <t>סעדיה בן יוסף גאון</t>
  </si>
  <si>
    <t>מפניני הרמב"ם - 2 כרכים</t>
  </si>
  <si>
    <t>מונזון, מנחם מנדל (עורך)</t>
  </si>
  <si>
    <t>מפניני הרמב"ם &lt;באנגלית&gt;  - 2 כרכים</t>
  </si>
  <si>
    <t>מצבות קודש בארץ ישראל</t>
  </si>
  <si>
    <t>ווילנאי, זאב בן אברהם</t>
  </si>
  <si>
    <t>מצות ראיה</t>
  </si>
  <si>
    <t>הלכה ומנהג, שלחן ערוך ומפרשיו</t>
  </si>
  <si>
    <t>מצמיח קרן ישועה</t>
  </si>
  <si>
    <t>הופמן, דוד צבי בן נתן נפתלי</t>
  </si>
  <si>
    <t>מקורות ומחקרים בתולדות ישראל</t>
  </si>
  <si>
    <t>אסף, שמחה בן יהודה זאב</t>
  </si>
  <si>
    <t>מקורות ילקוט שמעוני - 2 כרכים</t>
  </si>
  <si>
    <t>הימן, דוב</t>
  </si>
  <si>
    <t>נושאים שונים, שאר ספרי חז''ל</t>
  </si>
  <si>
    <t>מרביץ תורה</t>
  </si>
  <si>
    <t>בניהו, מאיר בן יצחק נסים</t>
  </si>
  <si>
    <t>מרגליות הים</t>
  </si>
  <si>
    <t>מרכבת המשנה על התורה</t>
  </si>
  <si>
    <t>מרכז התורה בפרובאנס</t>
  </si>
  <si>
    <t>משא עובדיה</t>
  </si>
  <si>
    <t>יוסף, עובדיה בן יעקב</t>
  </si>
  <si>
    <t>משברי ים</t>
  </si>
  <si>
    <t>לייטר, משה</t>
  </si>
  <si>
    <t>משיב נפש - 2 כרכים</t>
  </si>
  <si>
    <t>סילברמן, אליאב הכהן</t>
  </si>
  <si>
    <t>תשפ"ד</t>
  </si>
  <si>
    <t>משיב נפש על מגילת רות</t>
  </si>
  <si>
    <t>סירקיש, יואל בן שמואל</t>
  </si>
  <si>
    <t>משכן שילה</t>
  </si>
  <si>
    <t>רפאל, שילה בן יצחק</t>
  </si>
  <si>
    <t>משלי הקדמונים על פרשיות התורה</t>
  </si>
  <si>
    <t>קינדרמן, אהרן (עורך)</t>
  </si>
  <si>
    <t>משלי עם פירוש הרב המאירי</t>
  </si>
  <si>
    <t>משלי עם פירוש רבינו יונה</t>
  </si>
  <si>
    <t>גירונדי, יונה בן אברהם</t>
  </si>
  <si>
    <t>משנה עם פירוש הרמב"ם &lt;ר"י קאפח&gt;  - 6 כרכים</t>
  </si>
  <si>
    <t>משנה עם פירוש הרמב"ם &lt;עם המקור בערבית&gt;  - 7 כרכים</t>
  </si>
  <si>
    <t>משנה תורה &lt;צילום דפוס רומי ר"מ&gt;</t>
  </si>
  <si>
    <t>משנה תורה &lt;רמב"ם לעם&gt;  - 20 כרכים</t>
  </si>
  <si>
    <t>משנת אליעזר</t>
  </si>
  <si>
    <t>רבינוביץ, אליעזר</t>
  </si>
  <si>
    <t>משנת הלוי</t>
  </si>
  <si>
    <t>הורוויץ, יצחק בן יעקב יוקל הלוי</t>
  </si>
  <si>
    <t>נושאים שונים, שאלות ותשובות, שאר ספרי חז''ל, תלמוד בבלי, תנ''ך</t>
  </si>
  <si>
    <t>משנת השר</t>
  </si>
  <si>
    <t>יעקובוביץ, ישראל</t>
  </si>
  <si>
    <t>משנת יעקב - בעי חיי, ברכת יעקב, נר ערוך</t>
  </si>
  <si>
    <t>שור, יעקב בן אלישע יצחק</t>
  </si>
  <si>
    <t>משנת ראובן &lt;פירושי הראשונים על  מסכת אבות&gt;  - 2 כרכים</t>
  </si>
  <si>
    <t>קצנלנבוגן, מרדכי ליב (עורך) - קובץ ראשונים</t>
  </si>
  <si>
    <t>משעולי הפרשה</t>
  </si>
  <si>
    <t>גולדשטיין, מרדכי</t>
  </si>
  <si>
    <t>משפט כהן</t>
  </si>
  <si>
    <t>משפט עברי</t>
  </si>
  <si>
    <t>משפטי עזיאל - אה"ע תנינא</t>
  </si>
  <si>
    <t>עוזיאל, בן ציון מאיר חי בן יוסף רפאל</t>
  </si>
  <si>
    <t>משפטי שאול</t>
  </si>
  <si>
    <t>ישראלי, שאול בן בנימין איזראעליט</t>
  </si>
  <si>
    <t>הלכה ומנהג, משנה, נושאים שונים</t>
  </si>
  <si>
    <t>נ"ך לאור ההלכה - 2 כרכים</t>
  </si>
  <si>
    <t>לוי, ישראל</t>
  </si>
  <si>
    <t>נביאים וכתובים עם פירוש אור החיים הערוך והמבואר</t>
  </si>
  <si>
    <t>נוטרי מורשת</t>
  </si>
  <si>
    <t>יונג, אליהו בן מאיר צבי</t>
  </si>
  <si>
    <t>נועם אלימלך - 2 כרכים</t>
  </si>
  <si>
    <t>ווייסבלום, אלימלך בן אליעזר ליפמאן</t>
  </si>
  <si>
    <t>נושאי הש"ס</t>
  </si>
  <si>
    <t>ליברמן, יהושע</t>
  </si>
  <si>
    <t>נחליאל &lt;מהדורה חדשה&gt;</t>
  </si>
  <si>
    <t>ברויאר, יצחק בן שלמה זלמן</t>
  </si>
  <si>
    <t>נחליאל</t>
  </si>
  <si>
    <t>נימוקי חומש לרבינו ישעיה</t>
  </si>
  <si>
    <t>טראני, ישעיה בן מאלי (רי"ד)</t>
  </si>
  <si>
    <t>ניצוצי אור</t>
  </si>
  <si>
    <t>משנה, שאר ספרי חז''ל, תלמוד בבלי</t>
  </si>
  <si>
    <t>נצח האומה</t>
  </si>
  <si>
    <t>נר אהרן - 2 כרכים</t>
  </si>
  <si>
    <t>פרנקל, ירחמיאל</t>
  </si>
  <si>
    <t>נר למאור</t>
  </si>
  <si>
    <t>נתיבות ציון וירושלים</t>
  </si>
  <si>
    <t>לונץ, אברהם משה בן צבי</t>
  </si>
  <si>
    <t>סדר אליהו</t>
  </si>
  <si>
    <t>רבינוביץ תאומים, אליהו דוד בן בנימין (האדר"ת)</t>
  </si>
  <si>
    <t>סדר הסליחות כמנהג ליטא</t>
  </si>
  <si>
    <t>גולדשמידט, דניאל בן שלמה</t>
  </si>
  <si>
    <t>סדר הסליחות כמנהג פולין</t>
  </si>
  <si>
    <t>סדר הקינות לתשעה באב &lt;מבואר&gt;</t>
  </si>
  <si>
    <t>גולדשמידט, דניאל בן שלמה (ביאור)</t>
  </si>
  <si>
    <t>סדר קידושין ונישואין אחרי חתימת התלמוד</t>
  </si>
  <si>
    <t>פריימאן, אברהם חיים בן יעקב</t>
  </si>
  <si>
    <t>סדר רב עמרם גאון &lt;מוה"ק&gt;</t>
  </si>
  <si>
    <t>עמרם בן ששנא גאון</t>
  </si>
  <si>
    <t>הלכה ומנהג, תפלות בקשות פיוטים ושירה</t>
  </si>
  <si>
    <t>סדר תפלה &lt;עולת ראיה&gt; - ב (לשבתות ומועדים)</t>
  </si>
  <si>
    <t>תפילות. סידור. תרצ"ט. ירושלים</t>
  </si>
  <si>
    <t>סוגיות בהלכות צבא ומשטרה</t>
  </si>
  <si>
    <t>לוינזון, אלכסנדר יהושע</t>
  </si>
  <si>
    <t>סידור הגר"א &lt;מוסד הרב קוק&gt;</t>
  </si>
  <si>
    <t>סידור תפילה צלותא דאברהם</t>
  </si>
  <si>
    <t>לאנדא, אברהם בן רפאל</t>
  </si>
  <si>
    <t>סידור תפילות ישראל עם פירוש הרש"ר הירש</t>
  </si>
  <si>
    <t>תשנ"ב</t>
  </si>
  <si>
    <t>סידור תפילת אליהו</t>
  </si>
  <si>
    <t>סיני | קלה-קלו (קובץ הרמב"ם)</t>
  </si>
  <si>
    <t>מוסד הרב קוק</t>
  </si>
  <si>
    <t>סיפורי חסידים בדרשות לפרשת השבוע</t>
  </si>
  <si>
    <t>חסידות, תנ''ך</t>
  </si>
  <si>
    <t>סיפורי מעשיות משנים קדמוניות</t>
  </si>
  <si>
    <t>נחמן בן שמחה מברסלב - יערי, יהודה בן חיים יוסף</t>
  </si>
  <si>
    <t>חסידות, נושאים שונים</t>
  </si>
  <si>
    <t>סליחות ופזמונים &lt;רבינו גרשום מאור הגולה&gt;</t>
  </si>
  <si>
    <t>גרשום בן יהודה (מאור הגולה)</t>
  </si>
  <si>
    <t>סנהדרין גדולה</t>
  </si>
  <si>
    <t>הוניג, שמחה בנימין</t>
  </si>
  <si>
    <t>ספר אביעד</t>
  </si>
  <si>
    <t>ספר איוב עם פירושי אבן עזרא</t>
  </si>
  <si>
    <t>ספר אסף</t>
  </si>
  <si>
    <t>ספר דניאל עם פירושי אבן עזרא</t>
  </si>
  <si>
    <t>ספר הבהיר</t>
  </si>
  <si>
    <t>תשי"א</t>
  </si>
  <si>
    <t>ספר הבעש"ט</t>
  </si>
  <si>
    <t>ספר הג"ן - פירוש לחמישה חומשי תורה</t>
  </si>
  <si>
    <t>אהרן בן רבי יוסף הכהן (מבעלי התוספות)</t>
  </si>
  <si>
    <t>ספר הגר"א - 2 כרכים</t>
  </si>
  <si>
    <t>הלכה ומנהג, מחשבה ומוסר, משנה, נושאים שונים, קבצים וכתבי עת, ספרי זכרון ויובל, תולדות עם ישראל, תנ''ך</t>
  </si>
  <si>
    <t>ספר הזהר &lt;ניצוצי זהר&gt;  - 3 כרכים</t>
  </si>
  <si>
    <t>זוהר. ת"ש. ירושלים</t>
  </si>
  <si>
    <t>ת"ש - תש"ו</t>
  </si>
  <si>
    <t>קבלה, תנ''ך</t>
  </si>
  <si>
    <t>ספר החזיונות</t>
  </si>
  <si>
    <t>וויטאל, חיים בן יוסף</t>
  </si>
  <si>
    <t>ספר החיד"א</t>
  </si>
  <si>
    <t>אזולאי, חיים יוסף דוד (חיד"א)</t>
  </si>
  <si>
    <t>ספר החינוך &lt;מוה"ק&gt;</t>
  </si>
  <si>
    <t>אהרן הלוי, מברצלונה (מיוחס לו)</t>
  </si>
  <si>
    <t>ספר היובל לרבי חנוך אלבק</t>
  </si>
  <si>
    <t>ספר המדע לרמב"ם</t>
  </si>
  <si>
    <t>משה בן מימון (רמב"ם) - כהן, יעקב - קצנלבוגן, משה חיים</t>
  </si>
  <si>
    <t>ספר המזרחי</t>
  </si>
  <si>
    <t>ריינס, יצחק יעקב בן שלמה נפתלי</t>
  </si>
  <si>
    <t>ספר המליצה</t>
  </si>
  <si>
    <t>ספר המנהיג &lt;מוה"ק&gt;  - 2 כרכים</t>
  </si>
  <si>
    <t>אברהם בן נתן הירחי</t>
  </si>
  <si>
    <t>ספר המנוחה</t>
  </si>
  <si>
    <t>מנוח בן יעקב מנארבונה</t>
  </si>
  <si>
    <t>ספר המצות &lt;הערות ר' חיים העליר&gt;</t>
  </si>
  <si>
    <t>ספר המצות להרמב"ם עם השגות הרמב"ן &lt;מוה"ק&gt;</t>
  </si>
  <si>
    <t>שעוועל, חיים דוב</t>
  </si>
  <si>
    <t>ספר המצות לרמב"ם &lt;מקור ותרגום&gt;</t>
  </si>
  <si>
    <t>משה בן מימון (רמב"ם) - קאפח, יוסף בן דוד</t>
  </si>
  <si>
    <t>ספר העגונות</t>
  </si>
  <si>
    <t>כהנא, יצחק זאב בן משה</t>
  </si>
  <si>
    <t>ספר העיקרים ביאורים בעיקרי ההלכות - 2 כרכים</t>
  </si>
  <si>
    <t>איגר, שלמה בן עקיבא</t>
  </si>
  <si>
    <t>ספר הציונות הדתית - 2 כרכים</t>
  </si>
  <si>
    <t>רפאל, יצחק -שרגאי, שלמה זלמן</t>
  </si>
  <si>
    <t>ספר השמיטה</t>
  </si>
  <si>
    <t>טוקאצינסקי, יחיאל מיכל בן אהרן</t>
  </si>
  <si>
    <t>ספר התשובה &lt;בארי בשדה&gt; - 2 כרכים</t>
  </si>
  <si>
    <t>כהן, יוסף בן שמואל דוד</t>
  </si>
  <si>
    <t>ספר זכרון להגאון רבי שילה רפאל זצ"ל</t>
  </si>
  <si>
    <t>מובשוביץ, יוסף אליהו הלוי</t>
  </si>
  <si>
    <t>ספר חסידים &lt;מקור חסד&gt;</t>
  </si>
  <si>
    <t>יהודה בן שמואל החסיד - מרגליות, ראובן</t>
  </si>
  <si>
    <t>ספר יובל &lt;ר' ישראל אלפנביין&gt;</t>
  </si>
  <si>
    <t>מימון, יהודה ליב</t>
  </si>
  <si>
    <t>ספר יצירה עם ביאור הגר"א &lt;המפורש&gt;</t>
  </si>
  <si>
    <t>ספר מאזנים</t>
  </si>
  <si>
    <t>ספר מרגליות</t>
  </si>
  <si>
    <t>ספר זכרון לזכרו של הרב ראובן מרגליות</t>
  </si>
  <si>
    <t>ספר משלי בדברי חז"ל עם ביאור דברי יעקב</t>
  </si>
  <si>
    <t>שכטר, יעקב בן אברהם</t>
  </si>
  <si>
    <t>ספר צחות &lt;מהדורה חדשה&gt;</t>
  </si>
  <si>
    <t>ספר קהלת עם פירושי אבן עזרא</t>
  </si>
  <si>
    <t>גודמן, מרדכי שאול (ביאורים והערות) - אבן-עזרא, אברהם בן מאיר</t>
  </si>
  <si>
    <t>ספר רושיינא - 4 כרכים</t>
  </si>
  <si>
    <t>שמואל מרושיאה</t>
  </si>
  <si>
    <t>ספר רפאל</t>
  </si>
  <si>
    <t>ספר תהלים עם פירוש רש"ר הירש</t>
  </si>
  <si>
    <t>ספרא דצניעותא עם ביאור הגר"א</t>
  </si>
  <si>
    <t>ספרא וסייפא</t>
  </si>
  <si>
    <t>רבינוביץ, נתן דוד</t>
  </si>
  <si>
    <t>ספרי עם פירוש תולדות אדם - 2 כרכים</t>
  </si>
  <si>
    <t>אשכנזי, משה דוד אברהם טרויש</t>
  </si>
  <si>
    <t>ספרים באנגלית - 9 כרכים</t>
  </si>
  <si>
    <t>ספרים ברוסית - 4 כרכים</t>
  </si>
  <si>
    <t>יוסיפון, דוד (מתרגם)</t>
  </si>
  <si>
    <t>ספרן של יחידים</t>
  </si>
  <si>
    <t>עבודת המלך &lt;מוה"ק&gt;</t>
  </si>
  <si>
    <t>קראקובסקי, מנחם בן צבי הירש</t>
  </si>
  <si>
    <t>עבודת הנפש</t>
  </si>
  <si>
    <t>קרמר, ישי</t>
  </si>
  <si>
    <t>עבודת הקודש עם ביאור עבודת עבודה - 2 כרכים</t>
  </si>
  <si>
    <t>בן אדרת, שלמה בן אברהם (רשב"א) - צמבליסט, חיים גדליה</t>
  </si>
  <si>
    <t>עדות ביעקב - שו"ת</t>
  </si>
  <si>
    <t>עולם הקרבנות</t>
  </si>
  <si>
    <t>עולם התפילות - 2 כרכים</t>
  </si>
  <si>
    <t>מונק, אליהו</t>
  </si>
  <si>
    <t>עזרת כהן</t>
  </si>
  <si>
    <t>עיון וחקר</t>
  </si>
  <si>
    <t>אפנשטיין, שמעון בן שלמה</t>
  </si>
  <si>
    <t>עיון תפילה</t>
  </si>
  <si>
    <t>עיונים בביאור על התורה לרבינו בחיי בן אשר</t>
  </si>
  <si>
    <t>ליפשיץ, אברהם</t>
  </si>
  <si>
    <t>עיונים בדברי חז"ל ובלשונם</t>
  </si>
  <si>
    <t>עיונים בכתביהם של בעלי המוסר</t>
  </si>
  <si>
    <t>עיונים במסכתות התלמוד - 2 כרכים</t>
  </si>
  <si>
    <t>עיונים במשנה תורה להרמב"ם</t>
  </si>
  <si>
    <t>פאור, יוסף הלוי</t>
  </si>
  <si>
    <t>עיונים ומחקרים - 2 כרכים</t>
  </si>
  <si>
    <t>קוק, שאול חנא בן שלמה זלמן הכהן</t>
  </si>
  <si>
    <t>תשי"ט - תשכ"ג</t>
  </si>
  <si>
    <t>עין הדעת</t>
  </si>
  <si>
    <t>פרבשטיין, משה מרדכי</t>
  </si>
  <si>
    <t>עיניך בשדה</t>
  </si>
  <si>
    <t>סורוצקין, יואל בן בן ציון</t>
  </si>
  <si>
    <t>על המצפה</t>
  </si>
  <si>
    <t>לאזר, שמעון מנחם בן יהודה ליב הלוי</t>
  </si>
  <si>
    <t>על התפילה</t>
  </si>
  <si>
    <t>הופמן, דוד צבי בן משה יהודה</t>
  </si>
  <si>
    <t>על חסידות וחסידים</t>
  </si>
  <si>
    <t>רפאל, יצחק</t>
  </si>
  <si>
    <t>על משמר היהדות</t>
  </si>
  <si>
    <t>שפרן, יוסף</t>
  </si>
  <si>
    <t>עלי אור - מו"ק, חול המועד, הלכות שמחות</t>
  </si>
  <si>
    <t>קוקיס, אוריאל בן מרדכי</t>
  </si>
  <si>
    <t>עלי שיח</t>
  </si>
  <si>
    <t>עם הארץ הגלילי</t>
  </si>
  <si>
    <t>משנה, תלמוד בבלי</t>
  </si>
  <si>
    <t>עניינות בספרות הגאונים</t>
  </si>
  <si>
    <t>תשל"ד</t>
  </si>
  <si>
    <t>ענייני אבן עזרא</t>
  </si>
  <si>
    <t>עץ הדר</t>
  </si>
  <si>
    <t>עץ חיים - 3 כרכים</t>
  </si>
  <si>
    <t>חזן, יעקב</t>
  </si>
  <si>
    <t>ערוך השלחן העתיד - 8 כרכים</t>
  </si>
  <si>
    <t>אפשטיין, יחיאל מיכל בן אהרן יצחק הלוי</t>
  </si>
  <si>
    <t>ערפל בעמק הברכה</t>
  </si>
  <si>
    <t>אבן חן, יעקב</t>
  </si>
  <si>
    <t>עשרת הרוגי מלכות במדרש ובפיוט</t>
  </si>
  <si>
    <t>ולנר, אלתר</t>
  </si>
  <si>
    <t>מועדי ישראל, נושאים שונים, תפלות בקשות פיוטים ושירה</t>
  </si>
  <si>
    <t>עשרת השבטים</t>
  </si>
  <si>
    <t>פחד יצחק &lt;מוה"ק&gt;  - 5 כרכים</t>
  </si>
  <si>
    <t>לאמפרונטי, יצחק רפאל חזקיה בן שמואל</t>
  </si>
  <si>
    <t>פילון - 2 כרכים</t>
  </si>
  <si>
    <t>וולפסון, צבי א.</t>
  </si>
  <si>
    <t>פירוש המשנה למסכת שוטה &lt;מהדורת מוה"ק&gt;</t>
  </si>
  <si>
    <t>פירוש הר"ח מסכת בבא מציעא</t>
  </si>
  <si>
    <t>חננאל בן חושיאל</t>
  </si>
  <si>
    <t>פירוש התורה לרב שמואל בן חפני גאון</t>
  </si>
  <si>
    <t>שמואל בן חפני גאון</t>
  </si>
  <si>
    <t>פירוש לתהלים לרבנו יוסף חיון</t>
  </si>
  <si>
    <t>חיון, יוסף בן אברהם</t>
  </si>
  <si>
    <t>פירוש ספר יצירה אלמוני מיסודו של רבי אברהם אבולעפיא</t>
  </si>
  <si>
    <t>פירוש על הרי"ף</t>
  </si>
  <si>
    <t>חננאל בן שמואל</t>
  </si>
  <si>
    <t>פירוש רבי יוסף קרא לספר איוב</t>
  </si>
  <si>
    <t>קרא, יוסף בן שמעון</t>
  </si>
  <si>
    <t>פירוש רבינו חננאל - סוטה</t>
  </si>
  <si>
    <t>חננאל בן חושיאל - שעוועל, חיים דוב</t>
  </si>
  <si>
    <t>פירוש רבינו חננאל - 2 כרכים</t>
  </si>
  <si>
    <t>פירוש רבינו מיוחס - 2 כרכים</t>
  </si>
  <si>
    <t>מיוחס בן אליהו</t>
  </si>
  <si>
    <t>פירוש רשב"ם הקצר לפרק חזקת הבתים</t>
  </si>
  <si>
    <t>שמואל בן מאיר (רשב"ם)</t>
  </si>
  <si>
    <t>פירושי גאוני ליטא - 2 כרכים</t>
  </si>
  <si>
    <t>מובשוביץ, יוסף אליהו הלוי (עורך)</t>
  </si>
  <si>
    <t>פירושי הרב דוד צבי הופמן - 3 כרכים</t>
  </si>
  <si>
    <t>פירושי הרמב"ן לירושלמי - 6 כרכים</t>
  </si>
  <si>
    <t>פלורסהיים, יואל (עורך) - פלורסהיים, יואל - משה בן נחמן (רמב"ן)</t>
  </si>
  <si>
    <t>פירושי הרמב"ן על נביאים וכתובים</t>
  </si>
  <si>
    <t>משה בן נחמן (רמב"ן) - שעוועל, חיים דוב</t>
  </si>
  <si>
    <t>פירושי הרנב"י להלכות נדרים של הרמב"ן</t>
  </si>
  <si>
    <t>נתן בן יוסף</t>
  </si>
  <si>
    <t>פירושי התורה לרלב"ג - 5 כרכים</t>
  </si>
  <si>
    <t>לוי בן גרשון (רלב"ג)</t>
  </si>
  <si>
    <t>פירושי התורה לרמב"ן &lt;מוה"ק&gt;  - 2 כרכים</t>
  </si>
  <si>
    <t>פירושי וליקוטי הגר"א על הגדה של פסח</t>
  </si>
  <si>
    <t>פירושי רב סעדיה גאון לספר שמות</t>
  </si>
  <si>
    <t>סעדיה בן יוסף גאון - יהודה רצהבי</t>
  </si>
  <si>
    <t>פירושי רבי דוד קמחי (רד"ק) על התורה</t>
  </si>
  <si>
    <t>קמחי, דוד בן יוסף (רד"ק)</t>
  </si>
  <si>
    <t>פירושי רבי יוסף בכור שור על התורה</t>
  </si>
  <si>
    <t>יוסף בכור שור</t>
  </si>
  <si>
    <t>פירושי רבי יוסף קרא לנביאים ראשונים</t>
  </si>
  <si>
    <t>פירושי רבינו אליהו מלונדריש ופסקיו</t>
  </si>
  <si>
    <t>אליהו מנחם בן משה מלונדריש</t>
  </si>
  <si>
    <t>הלכה ומנהג, מועדי ישראל, משנה</t>
  </si>
  <si>
    <t>פירושי רבינו חננאל על התורה</t>
  </si>
  <si>
    <t>פירושי רבינו סעדיה גאון על התורה</t>
  </si>
  <si>
    <t>פירושי רלב"ג - 4 כרכים</t>
  </si>
  <si>
    <t>פירושי רש"י - מסכת נדרים</t>
  </si>
  <si>
    <t>שלמה בן יצחק (רש"י)</t>
  </si>
  <si>
    <t>פירושי רש"י על התורה</t>
  </si>
  <si>
    <t>שלמה בן יצחק (רש"י) - שעוועל, חיים דוב</t>
  </si>
  <si>
    <t>פירושי תלמידי הרשב"א על קבלת הרמב"ן</t>
  </si>
  <si>
    <t>תלמידי הרשב"א על קבלת הרמב"ן</t>
  </si>
  <si>
    <t>פיתוחים פתוחים ואטורים</t>
  </si>
  <si>
    <t>כץ, שרה</t>
  </si>
  <si>
    <t>פליטת סופרים</t>
  </si>
  <si>
    <t>בירנבוים, פלטיאל</t>
  </si>
  <si>
    <t>פני ספר תהלים</t>
  </si>
  <si>
    <t>מלצר, פיבל</t>
  </si>
  <si>
    <t>פנינים ומרגליות</t>
  </si>
  <si>
    <t>פנקס התקנות והרישומים</t>
  </si>
  <si>
    <t>אונא, אביגדור</t>
  </si>
  <si>
    <t>הלכה ומנהג, קבצים וכתבי עת, ספרי זכרון ויובל, תולדות עם ישראל</t>
  </si>
  <si>
    <t>פסקי הגר"א &lt;מכון פסקי הגר"א&gt; - שבת</t>
  </si>
  <si>
    <t>פסקי הלכות &lt;יד דוד&gt; - ג</t>
  </si>
  <si>
    <t>פרידמאן, דוד בן שמואל</t>
  </si>
  <si>
    <t>פסקי חלה לרשב"א עם ביאור קדושת לחם</t>
  </si>
  <si>
    <t>פסקי עזיאל בשאלות הזמן</t>
  </si>
  <si>
    <t>פסקי רבנו אליהו לסדר זרעים</t>
  </si>
  <si>
    <t>תש"א</t>
  </si>
  <si>
    <t>הלכה ומנהג, משנה</t>
  </si>
  <si>
    <t>פסקי תוספות על מסכת סוטה</t>
  </si>
  <si>
    <t>ליפשיץ, יעקב הלוי (עריכה והערות) - בעלי התוספות</t>
  </si>
  <si>
    <t>פסקים וכתבים - 9 כרכים</t>
  </si>
  <si>
    <t>הרצוג, יצחק אייזיק בן יואל ליב הלוי</t>
  </si>
  <si>
    <t>פרס ורומי בתלמוד ובמדרשים</t>
  </si>
  <si>
    <t>קרויס, שמואל שמשון ליב בן מאיר</t>
  </si>
  <si>
    <t>פרקי הדרכה בהוראת נביאים ראשונים</t>
  </si>
  <si>
    <t>קיל, יהודה</t>
  </si>
  <si>
    <t>פרקי עיון - 3 כרכים</t>
  </si>
  <si>
    <t>פרקי עיון במשנת רבי אברהם אבן עזרא</t>
  </si>
  <si>
    <t>פרקים בתולדות היהודים בפולין</t>
  </si>
  <si>
    <t>כהנא, דוד</t>
  </si>
  <si>
    <t>פרשת מרדכי</t>
  </si>
  <si>
    <t>צוהר לבראשית - 2 כרכים</t>
  </si>
  <si>
    <t>ציון וירושלים</t>
  </si>
  <si>
    <t>קוק, צבי יהודה בן אברהם יצחק הכהן</t>
  </si>
  <si>
    <t>ציון לנפש חיה - שו"ת</t>
  </si>
  <si>
    <t>לייטר, נתן נטע</t>
  </si>
  <si>
    <t>ציוני דרך</t>
  </si>
  <si>
    <t>ברויאר, יצחק</t>
  </si>
  <si>
    <t>צפנת פענח &lt;על הרמב"ם&gt;  - 3 כרכים</t>
  </si>
  <si>
    <t>רוזין, יוסף בן אפרים פישל</t>
  </si>
  <si>
    <t>קברים קדושים בבבל</t>
  </si>
  <si>
    <t>בן יעקב, אברהם</t>
  </si>
  <si>
    <t>נושאים שונים, תולדות עם ישראל, תפלות בקשות פיוטים ושירה</t>
  </si>
  <si>
    <t>קדושת פשוטו של מקרא - 2 כרכים</t>
  </si>
  <si>
    <t>קופרמן יהודה</t>
  </si>
  <si>
    <t>קובץ מאמרים ומחקרים בתורה ובמדעי היהדות</t>
  </si>
  <si>
    <t>קול דוד תניינא</t>
  </si>
  <si>
    <t>וויינשטוק, דוד פתחיה בן גרשון</t>
  </si>
  <si>
    <t>דרושים, קבלה</t>
  </si>
  <si>
    <t>קול הנבואה</t>
  </si>
  <si>
    <t>כהן, דוד (הנזיר)</t>
  </si>
  <si>
    <t>קול מבשר &lt;מוה"ק&gt;  - 2 כרכים</t>
  </si>
  <si>
    <t>ראטה, משולם בן שמעון</t>
  </si>
  <si>
    <t>קונטריס על ענין שבת החתונה</t>
  </si>
  <si>
    <t>סופינו, אליעזר בן יעקב</t>
  </si>
  <si>
    <t>קונטרס קידוש השם</t>
  </si>
  <si>
    <t>פרלמן, ירוחם יהודה ליב בן שלמה זלמן</t>
  </si>
  <si>
    <t>קיצור שלחן ערוך (מנוקד)</t>
  </si>
  <si>
    <t>גאנצפריד, שלמה בן יוסף</t>
  </si>
  <si>
    <t>קסת הסופר &lt;מוה"ק&gt; - א</t>
  </si>
  <si>
    <t>מארכוס, אהרן בן מאיר</t>
  </si>
  <si>
    <t>קראקא - ספר קראקא</t>
  </si>
  <si>
    <t>ספר קהילה</t>
  </si>
  <si>
    <t>קרית משה</t>
  </si>
  <si>
    <t>רודיק, יוחאי - ברזובסקי, נאוה הכהן</t>
  </si>
  <si>
    <t>קרן ישראל - חולין</t>
  </si>
  <si>
    <t xml:space="preserve">לרנר, ישראל </t>
  </si>
  <si>
    <t>קשת גבורים - 5 כרכים</t>
  </si>
  <si>
    <t>ר' יצחק אייזיק מקאמרנא</t>
  </si>
  <si>
    <t>ברל, חיים יהודה</t>
  </si>
  <si>
    <t>ראש מילין &lt;מוה"ק&gt;</t>
  </si>
  <si>
    <t>ראשונים לציון הנה הנם</t>
  </si>
  <si>
    <t>ראשית הנזר</t>
  </si>
  <si>
    <t>ורשנר, נעם</t>
  </si>
  <si>
    <t>רבי אברהם יהושע השיל הרב מאפטא</t>
  </si>
  <si>
    <t>רבי ברוך הלוי אפשטיין</t>
  </si>
  <si>
    <t>תרשיש, א"ז</t>
  </si>
  <si>
    <t>רבי דוב בר מייזלש</t>
  </si>
  <si>
    <t>קמלהאר, משה</t>
  </si>
  <si>
    <t>רבי זרחיה הלוי בעל המאור ובני חוגו</t>
  </si>
  <si>
    <t>תא שמע, ישראל</t>
  </si>
  <si>
    <t>רבי חיים אבן עטר</t>
  </si>
  <si>
    <t>קלאר, מנחם בנימין בן שלמה</t>
  </si>
  <si>
    <t>רבי חיים ב"ר בצלאל מפרידברג</t>
  </si>
  <si>
    <t>זימר, אריק (יצחק)</t>
  </si>
  <si>
    <t>רבי חיים יוסף דוד אזולאי - 2 כרכים</t>
  </si>
  <si>
    <t>רבי חיים צבי שניאורסון</t>
  </si>
  <si>
    <t>קלויזנר, ישראל בן חיים שבתי</t>
  </si>
  <si>
    <t>רבי יעקב ששפורטש</t>
  </si>
  <si>
    <t>מויאל, אלי</t>
  </si>
  <si>
    <t>רבי יצחק בר ששת</t>
  </si>
  <si>
    <t>הרשמאן, אברהם משה בן יהודה אליעזר</t>
  </si>
  <si>
    <t>רבי מנחם מנדל מקוצק</t>
  </si>
  <si>
    <t>פאקס, יוסף</t>
  </si>
  <si>
    <t>רבי משה בן מימון - תולדות חייו ויצירתו הספרותית</t>
  </si>
  <si>
    <t>רבי נפתלי מרופשיטץ</t>
  </si>
  <si>
    <t>טל, שלמה</t>
  </si>
  <si>
    <t>רבי עקיבא יוסף שלזינגר</t>
  </si>
  <si>
    <t>שחראי, אלתר יעקב בן זאב יצחק</t>
  </si>
  <si>
    <t>תש"ב</t>
  </si>
  <si>
    <t>רבינו אפרים</t>
  </si>
  <si>
    <t>אפרים, מקלעה חמאד</t>
  </si>
  <si>
    <t>רבינו בחיי על התורה &lt;מוה"ק&gt;  - 3 כרכים</t>
  </si>
  <si>
    <t>רבנו משה בן נחמן - תולדות חייו, זמנו וחיבוריו</t>
  </si>
  <si>
    <t>רבנו עובדיה מברטנורא</t>
  </si>
  <si>
    <t>לרנר, ישראל דב</t>
  </si>
  <si>
    <t>רבני פרנקפורט</t>
  </si>
  <si>
    <t>הורוויץ, מרדכי הלוי</t>
  </si>
  <si>
    <t>רי"ף מסכת ברכות</t>
  </si>
  <si>
    <t>רינת האמונה</t>
  </si>
  <si>
    <t>רבינוביץ, אהרן</t>
  </si>
  <si>
    <t>רינת התשובה</t>
  </si>
  <si>
    <t>רש"י - הפירוש לתלמוד</t>
  </si>
  <si>
    <t>מלחי, ירמיהו</t>
  </si>
  <si>
    <t>שאילתות דרב אחאי גאון &lt;העמק שאלה&gt;  - 3 כרכים</t>
  </si>
  <si>
    <t>אחאי משבחא גאון - ברלין, נפתלי צבי יהודה</t>
  </si>
  <si>
    <t>תשנ"ט</t>
  </si>
  <si>
    <t>שבחי ארץ החיים &lt;מהדורה חדשה&gt;</t>
  </si>
  <si>
    <t>פינפר, פסח בן חיים הכהן</t>
  </si>
  <si>
    <t>שבט מיהודה</t>
  </si>
  <si>
    <t>אונטרמן, איסר יהודה בן אליהו</t>
  </si>
  <si>
    <t>שבילי ניסן</t>
  </si>
  <si>
    <t>וקסמן, ניסן</t>
  </si>
  <si>
    <t>שבעים פנים לתורה</t>
  </si>
  <si>
    <t>ענגיל, יוסף בן יהודה</t>
  </si>
  <si>
    <t>שבת הארץ</t>
  </si>
  <si>
    <t>שו"ת בית רידב"ז</t>
  </si>
  <si>
    <t>שו"ת הפרשה</t>
  </si>
  <si>
    <t>שיינפלד, יחזקאל</t>
  </si>
  <si>
    <t>שו"ת הריטב"א</t>
  </si>
  <si>
    <t>שו"ת מהר"ש מוהליבר</t>
  </si>
  <si>
    <t>מוהליבר, שמואל</t>
  </si>
  <si>
    <t>שו"ת מן השמים &lt;עם הערות הגר"ר מרגליות&gt;</t>
  </si>
  <si>
    <t>יעקב הלוי ממארוויש - מרגליות, ראובן</t>
  </si>
  <si>
    <t>שו"ת רבי שלמה איגר - 3 כרכים</t>
  </si>
  <si>
    <t>איגר, שלמה</t>
  </si>
  <si>
    <t>שו"ת רידב"ז</t>
  </si>
  <si>
    <t>שובה ישראל</t>
  </si>
  <si>
    <t>בישקוביץ, יהושע הכהן</t>
  </si>
  <si>
    <t>שיח שאול - 2 כרכים</t>
  </si>
  <si>
    <t>שיטה מקובצת &lt;מוה"ק&gt;  - 17 כרכים</t>
  </si>
  <si>
    <t>אשכנזי, בצלאל בן אברהם</t>
  </si>
  <si>
    <t>שיעורי הגרי"ד - 3 כרכים</t>
  </si>
  <si>
    <t>שיעורי ראשי ישיבות ליטא</t>
  </si>
  <si>
    <t>ראשי ישיבות ליטא (פורמן, אברהם -  (עורך)</t>
  </si>
  <si>
    <t>שיעורי רבי שמעון יהודה הכהן שקאפ - נשים, נזיקין</t>
  </si>
  <si>
    <t>שקופ, שמעון יהודה בן יצחק שמואל הכהן</t>
  </si>
  <si>
    <t>שיר השירים עם ביאור עוטה אור &lt;מהדורת מוה"ק&gt;</t>
  </si>
  <si>
    <t>שירה של פרשה</t>
  </si>
  <si>
    <t>אליצור, שולמית</t>
  </si>
  <si>
    <t>שירי היחוד והכבוד</t>
  </si>
  <si>
    <t>האברמאן, אברהם מאיר בן אורי פייבל</t>
  </si>
  <si>
    <t>שירי המנחה</t>
  </si>
  <si>
    <t>משנה, שאלות ותשובות, תלמוד בבלי, תנ''ך</t>
  </si>
  <si>
    <t>שירי זרח הלוי</t>
  </si>
  <si>
    <t>לוי, זרח בן דוד</t>
  </si>
  <si>
    <t>שיריו ופיוטיו של רב האי גאון</t>
  </si>
  <si>
    <t>האיי בן שרירא גאון</t>
  </si>
  <si>
    <t>תרצ"ח</t>
  </si>
  <si>
    <t>שירים - דונש בן לבראט</t>
  </si>
  <si>
    <t>דונש בן לבראט הלוי</t>
  </si>
  <si>
    <t>תש"ז</t>
  </si>
  <si>
    <t>שלמות הקבלה והמסורה</t>
  </si>
  <si>
    <t>פכטר, אליהו ליב בן ישראל יצחק</t>
  </si>
  <si>
    <t>שלמי מנחם - הלכות שכנים ושכירות פועלים</t>
  </si>
  <si>
    <t>שימל, מנחם בן אברהם</t>
  </si>
  <si>
    <t>שלמי שמחה</t>
  </si>
  <si>
    <t>גוטל, נריה משה</t>
  </si>
  <si>
    <t>שם דרך - 2 כרכים</t>
  </si>
  <si>
    <t>ברוידא, שמחה זיסל בן חזקיהו אברהם</t>
  </si>
  <si>
    <t>שם משמעון</t>
  </si>
  <si>
    <t>סטרליץ, שמעון</t>
  </si>
  <si>
    <t>שם עולם</t>
  </si>
  <si>
    <t>שמואל עם פירוש רש"י &lt;מוה"ק&gt;</t>
  </si>
  <si>
    <t>קצנלנבוגן, מרדכי ליב (עורך) - שלמה בן יצחק (רש"י)</t>
  </si>
  <si>
    <t>שמונה פרקים לרמב"ם</t>
  </si>
  <si>
    <t>שמונה קבצים &lt;מהדורת מוה"ק&gt; - ב</t>
  </si>
  <si>
    <t>שמיטת כספים</t>
  </si>
  <si>
    <t>שמעתי מרבי - 2 כרכים</t>
  </si>
  <si>
    <t>ליטבסקי, אליעזר שלום</t>
  </si>
  <si>
    <t>שמש בענן</t>
  </si>
  <si>
    <t>גרנטשטין, יחיאל</t>
  </si>
  <si>
    <t>שעורים לזכר אבא מרי ז"ל - 2 כרכים</t>
  </si>
  <si>
    <t>שערי בריאות הגוף והנפש לפי הרמב"ם</t>
  </si>
  <si>
    <t>שערי הלכה - 2 כרכים</t>
  </si>
  <si>
    <t>חזות, יחיאל בן עמרם</t>
  </si>
  <si>
    <t>שערי זהר</t>
  </si>
  <si>
    <t>שערי שאול - 3 כרכים</t>
  </si>
  <si>
    <t>שערים בהלכה</t>
  </si>
  <si>
    <t>שליטא, משה</t>
  </si>
  <si>
    <t>שערים למערכת הקניינים</t>
  </si>
  <si>
    <t>שערים לשערי יושר</t>
  </si>
  <si>
    <t>שפה ברורה &lt;מהדורת מוה"ק&gt;</t>
  </si>
  <si>
    <t>שפתי דעת - 3 כרכים</t>
  </si>
  <si>
    <t>חסידות, מועדי ישראל</t>
  </si>
  <si>
    <t>שקל הקודש</t>
  </si>
  <si>
    <t>אלמולי, שלמה</t>
  </si>
  <si>
    <t>שרגאי - 3 כרכים</t>
  </si>
  <si>
    <t>כתב עת לחקר הציונות הדתית</t>
  </si>
  <si>
    <t>שרי המאה - 6 כרכים</t>
  </si>
  <si>
    <t>תש"ב - תשט"ז</t>
  </si>
  <si>
    <t>שרידים מפירוש הר"א על תענית</t>
  </si>
  <si>
    <t>אליקים בן משולם משפירא</t>
  </si>
  <si>
    <t>ששה חדשים באיטליה</t>
  </si>
  <si>
    <t>ברלינר, אברהם בן צבי הירש</t>
  </si>
  <si>
    <t>תבונה - א-ב</t>
  </si>
  <si>
    <t>קראסילשצ'יקוב, יצחק אייזיק בן דוב בר</t>
  </si>
  <si>
    <t>הלכה ומנהג, תלמוד ירושלמי</t>
  </si>
  <si>
    <t>תהלים &lt;באר אברהם&gt;</t>
  </si>
  <si>
    <t>תהלים &lt;רש"ר הירש&gt;</t>
  </si>
  <si>
    <t>תהלים עם הפירוש השלם לרד"ק</t>
  </si>
  <si>
    <t>תולדות הגר"א</t>
  </si>
  <si>
    <t>תולדות היהודים במצרים וסוריה - 2 כרכים</t>
  </si>
  <si>
    <t>שטראוס-אשתור, אליהו בן אברהם ליב</t>
  </si>
  <si>
    <t>תולדות חג שמחת תורה</t>
  </si>
  <si>
    <t>יערי אברהם בן חיים יוסף</t>
  </si>
  <si>
    <t>תולדות נס ציונה בוולוז'ין</t>
  </si>
  <si>
    <t>קלויזנר, ישראל</t>
  </si>
  <si>
    <t>תוספות איוורא - סוטה</t>
  </si>
  <si>
    <t>יצחק בן שניאור מאיוורא</t>
  </si>
  <si>
    <t>תוספות הרא"ש &lt;מוה"ק&gt;  - 20 כרכים</t>
  </si>
  <si>
    <t>אשר בן יחיאל (רא"ש)</t>
  </si>
  <si>
    <t>תוספות רי"ד &lt;מוה"ק&gt;  - 12 כרכים</t>
  </si>
  <si>
    <t>תוספת ראשונים - 4 כרכים</t>
  </si>
  <si>
    <t>ליברמן, שאול בן משה</t>
  </si>
  <si>
    <t>תרצ"ז - תרצ"ט</t>
  </si>
  <si>
    <t>תורה ומוסר</t>
  </si>
  <si>
    <t>ריינס, חיים זאב בן אברהם דוב</t>
  </si>
  <si>
    <t>תורה לשמה - במשנת ר"ח מוולוז'ין</t>
  </si>
  <si>
    <t>תורה שבעל פה</t>
  </si>
  <si>
    <t>ענבל, יהושע</t>
  </si>
  <si>
    <t>תורות בית דינוב - 3 כרכים</t>
  </si>
  <si>
    <t>פיש, נפתלי צבי</t>
  </si>
  <si>
    <t>תורות בעל התולדות</t>
  </si>
  <si>
    <t>יעקב יוסף בן צבי הירש הכהן מפולנאה</t>
  </si>
  <si>
    <t>תורת אבן העזר</t>
  </si>
  <si>
    <t>קרלין, אריה בן ישראל אליעזר</t>
  </si>
  <si>
    <t>תורת אליהו - תנ"ך</t>
  </si>
  <si>
    <t>תורת האהל</t>
  </si>
  <si>
    <t>תורת הבית הארוך והקצר א &lt;מוה"ק&gt; - 3 כרכים</t>
  </si>
  <si>
    <t>תורת הגר"א ומשנת החסידות</t>
  </si>
  <si>
    <t>חסידות, תולדות עם ישראל</t>
  </si>
  <si>
    <t>תורת ההגיון בהלכה</t>
  </si>
  <si>
    <t>תורת החטאת &lt;מוה"ק&gt;</t>
  </si>
  <si>
    <t>איסרלש, משה בן ישראל (רמ"א)</t>
  </si>
  <si>
    <t>תורת החסידות - 4 כרכים</t>
  </si>
  <si>
    <t>תורת הקבלה - רמ"ק</t>
  </si>
  <si>
    <t>הורודצקי, שמואל אבא בן יוסף משה</t>
  </si>
  <si>
    <t>תורת הראשונים - 7 כרכים</t>
  </si>
  <si>
    <t>אריאלי, אביגדור (עורך) - קובץ ראשונים</t>
  </si>
  <si>
    <t>תורת חז"ל תורה מן השמים</t>
  </si>
  <si>
    <t>שימל, חיים</t>
  </si>
  <si>
    <t>תורת חיים - 4 כרכים</t>
  </si>
  <si>
    <t>פירושי הראשונים</t>
  </si>
  <si>
    <t>תורת חיים &lt;חמשה חומשי תורה&gt;  - 7 כרכים</t>
  </si>
  <si>
    <t>מקראות גדולות</t>
  </si>
  <si>
    <t>תורת חיים &lt;נ"ך&gt;  - 2 כרכים</t>
  </si>
  <si>
    <t>תורת חיים &lt;תהלים&gt;  - 3 כרכים</t>
  </si>
  <si>
    <t>תורת משה והנביאים</t>
  </si>
  <si>
    <t>תחוקה לישראל על פי התורה - 3 כרכים</t>
  </si>
  <si>
    <t>תנ"ך &lt;עפ"י כתר ארם צובא. מהדורת ברויאר&gt;</t>
  </si>
  <si>
    <t>ברויאר מרדכי (מגיה)</t>
  </si>
  <si>
    <t>קבצים וכתבי עת, ספרי זכרון ויובל, תנ''ך</t>
  </si>
  <si>
    <t>תנ"ך עם פירוש דעת מקרא &lt;באנגלית&gt; - משלי</t>
  </si>
  <si>
    <t>פירוש דעת מקרא</t>
  </si>
  <si>
    <t>תנ"ך עם פירוש דעת מקרא - 30 כרכים</t>
  </si>
  <si>
    <t>תנ"ך דעת מקרא</t>
  </si>
  <si>
    <t>תנאי בנישואין ובגט</t>
  </si>
  <si>
    <t>תניא רבתי &lt;מהדורת מוסד הרב קוק&gt;</t>
  </si>
  <si>
    <t>עניו, יחיאל בן יקותיאל</t>
  </si>
  <si>
    <t>תפלה לעני</t>
  </si>
  <si>
    <t>שפירא, משה מנחם הכהן</t>
  </si>
  <si>
    <t>תקון מדות הנפש</t>
  </si>
  <si>
    <t>אבן גבירול, שלמה בן יהודה</t>
  </si>
  <si>
    <t>תקוני הזהר עם ניצוצי זהר</t>
  </si>
  <si>
    <t>תקופת הגאונים וספרותה</t>
  </si>
  <si>
    <t>תשובות הגאונים גרש ירחים - 2 כרכים</t>
  </si>
  <si>
    <t>תשובות הגאונים</t>
  </si>
  <si>
    <t>תשובות הרשב"א &lt;מוה"ק&gt;  - 4 כרכים</t>
  </si>
  <si>
    <t>תשובות ופירושי רב שרירא גאון - 2 כרכים</t>
  </si>
  <si>
    <t>רבינוביץ, נתן דוד (מהדיר) - שרירא בן חנניה גאון</t>
  </si>
  <si>
    <t>תשובות ופסקים לראב"ד</t>
  </si>
  <si>
    <t>תשובות פסקים ומנהגים - 4 כרכים</t>
  </si>
  <si>
    <t>מאיר בן ברוך מרוטנבורג</t>
  </si>
  <si>
    <t>תשי"ז - תשכ"ג</t>
  </si>
  <si>
    <t>תשובות רב שר שלום גאון</t>
  </si>
  <si>
    <t>שר שלום גאון</t>
  </si>
  <si>
    <t>שאלות ותשובות, תולדות עם ישראל</t>
  </si>
  <si>
    <t>תשובות רבי מיימון</t>
  </si>
  <si>
    <t>תשובות רבינו משה בן נחמן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</si>
</sst>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57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3853D-941F-448F-A791-0AA6F944DC43}">
  <dimension ref="A1:H724"/>
  <sheetViews>
    <sheetView tabSelected="1" workbookViewId="0">
      <selection activeCell="B6" sqref="B6"/>
    </sheetView>
  </sheetViews>
  <sheetFormatPr defaultRowHeight="15" x14ac:dyDescent="0.25"/>
  <cols>
    <col min="1" max="1" width="9.5703125" bestFit="1" customWidth="1"/>
    <col min="2" max="2" width="48.42578125" bestFit="1" customWidth="1"/>
    <col min="3" max="3" width="64" bestFit="1" customWidth="1"/>
    <col min="4" max="4" width="12.140625" bestFit="1" customWidth="1"/>
    <col min="5" max="5" width="13.85546875" bestFit="1" customWidth="1"/>
    <col min="6" max="6" width="87.42578125" bestFit="1" customWidth="1"/>
    <col min="7" max="7" width="49.28515625" bestFit="1" customWidth="1"/>
    <col min="8" max="8" width="64.28515625" bestFit="1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>
        <v>158442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tr">
        <f>HYPERLINK(_xlfn.CONCAT("https://tablet.otzar.org/",CHAR(35),"/book/158442/p/-1/t/1/fs/0/start/0/end/0/c"),"אבותינו")</f>
        <v>אבותינו</v>
      </c>
      <c r="H2" t="str">
        <f>_xlfn.CONCAT("https://tablet.otzar.org/",CHAR(35),"/book/158442/p/-1/t/1/fs/0/start/0/end/0/c")</f>
        <v>https://tablet.otzar.org/#/book/158442/p/-1/t/1/fs/0/start/0/end/0/c</v>
      </c>
    </row>
    <row r="3" spans="1:8" x14ac:dyDescent="0.25">
      <c r="A3">
        <v>158405</v>
      </c>
      <c r="B3" t="s">
        <v>13</v>
      </c>
      <c r="C3" t="s">
        <v>14</v>
      </c>
      <c r="D3" t="s">
        <v>10</v>
      </c>
      <c r="E3" t="s">
        <v>15</v>
      </c>
      <c r="F3" t="s">
        <v>12</v>
      </c>
      <c r="G3" t="str">
        <f>HYPERLINK(_xlfn.CONCAT("https://tablet.otzar.org/",CHAR(35),"/book/158405/p/-1/t/1/fs/0/start/0/end/0/c"),"אביי ורבא")</f>
        <v>אביי ורבא</v>
      </c>
      <c r="H3" t="str">
        <f>_xlfn.CONCAT("https://tablet.otzar.org/",CHAR(35),"/book/158405/p/-1/t/1/fs/0/start/0/end/0/c")</f>
        <v>https://tablet.otzar.org/#/book/158405/p/-1/t/1/fs/0/start/0/end/0/c</v>
      </c>
    </row>
    <row r="4" spans="1:8" x14ac:dyDescent="0.25">
      <c r="A4">
        <v>155247</v>
      </c>
      <c r="B4" t="s">
        <v>16</v>
      </c>
      <c r="C4" t="s">
        <v>17</v>
      </c>
      <c r="D4" t="s">
        <v>10</v>
      </c>
      <c r="E4" t="s">
        <v>18</v>
      </c>
      <c r="F4" t="s">
        <v>19</v>
      </c>
      <c r="G4" t="str">
        <f>HYPERLINK(_xlfn.CONCAT("https://tablet.otzar.org/",CHAR(35),"/exKotar/155247"),"אבן עזרא &lt;מוה""""ק&gt;  - 3 כרכים")</f>
        <v>אבן עזרא &lt;מוה""ק&gt;  - 3 כרכים</v>
      </c>
      <c r="H4" t="str">
        <f>_xlfn.CONCAT("https://tablet.otzar.org/",CHAR(35),"/exKotar/155247")</f>
        <v>https://tablet.otzar.org/#/exKotar/155247</v>
      </c>
    </row>
    <row r="5" spans="1:8" x14ac:dyDescent="0.25">
      <c r="A5">
        <v>154989</v>
      </c>
      <c r="B5" t="s">
        <v>20</v>
      </c>
      <c r="C5" t="s">
        <v>21</v>
      </c>
      <c r="D5" t="s">
        <v>10</v>
      </c>
      <c r="E5" t="s">
        <v>22</v>
      </c>
      <c r="F5" t="s">
        <v>23</v>
      </c>
      <c r="G5" t="str">
        <f>HYPERLINK(_xlfn.CONCAT("https://tablet.otzar.org/",CHAR(35),"/exKotar/154989"),"אגרות הראיה - 3 כרכים")</f>
        <v>אגרות הראיה - 3 כרכים</v>
      </c>
      <c r="H5" t="str">
        <f>_xlfn.CONCAT("https://tablet.otzar.org/",CHAR(35),"/exKotar/154989")</f>
        <v>https://tablet.otzar.org/#/exKotar/154989</v>
      </c>
    </row>
    <row r="6" spans="1:8" x14ac:dyDescent="0.25">
      <c r="A6">
        <v>155212</v>
      </c>
      <c r="B6" t="s">
        <v>24</v>
      </c>
      <c r="C6" t="s">
        <v>14</v>
      </c>
      <c r="D6" t="s">
        <v>10</v>
      </c>
      <c r="E6" t="s">
        <v>25</v>
      </c>
      <c r="F6" t="s">
        <v>23</v>
      </c>
      <c r="G6" t="str">
        <f>HYPERLINK(_xlfn.CONCAT("https://tablet.otzar.org/",CHAR(35),"/exKotar/155212"),"אגרות הרב מימון - 2 כרכים")</f>
        <v>אגרות הרב מימון - 2 כרכים</v>
      </c>
      <c r="H6" t="str">
        <f>_xlfn.CONCAT("https://tablet.otzar.org/",CHAR(35),"/exKotar/155212")</f>
        <v>https://tablet.otzar.org/#/exKotar/155212</v>
      </c>
    </row>
    <row r="7" spans="1:8" x14ac:dyDescent="0.25">
      <c r="A7">
        <v>155206</v>
      </c>
      <c r="B7" t="s">
        <v>26</v>
      </c>
      <c r="C7" t="s">
        <v>27</v>
      </c>
      <c r="D7" t="s">
        <v>10</v>
      </c>
      <c r="E7" t="s">
        <v>28</v>
      </c>
      <c r="F7" t="s">
        <v>29</v>
      </c>
      <c r="G7" t="str">
        <f>HYPERLINK(_xlfn.CONCAT("https://tablet.otzar.org/",CHAR(35),"/book/155206/p/-1/t/1/fs/0/start/0/end/0/c"),"אגרות הרמב""""ם &lt;מקור ותרגום&gt;")</f>
        <v>אגרות הרמב""ם &lt;מקור ותרגום&gt;</v>
      </c>
      <c r="H7" t="str">
        <f>_xlfn.CONCAT("https://tablet.otzar.org/",CHAR(35),"/book/155206/p/-1/t/1/fs/0/start/0/end/0/c")</f>
        <v>https://tablet.otzar.org/#/book/155206/p/-1/t/1/fs/0/start/0/end/0/c</v>
      </c>
    </row>
    <row r="8" spans="1:8" x14ac:dyDescent="0.25">
      <c r="A8">
        <v>155164</v>
      </c>
      <c r="B8" t="s">
        <v>30</v>
      </c>
      <c r="C8" t="s">
        <v>31</v>
      </c>
      <c r="D8" t="s">
        <v>10</v>
      </c>
      <c r="E8" t="s">
        <v>32</v>
      </c>
      <c r="F8" t="s">
        <v>33</v>
      </c>
      <c r="G8" t="str">
        <f>HYPERLINK(_xlfn.CONCAT("https://tablet.otzar.org/",CHAR(35),"/book/155164/p/-1/t/1/fs/0/start/0/end/0/c"),"אגרות צפון")</f>
        <v>אגרות צפון</v>
      </c>
      <c r="H8" t="str">
        <f>_xlfn.CONCAT("https://tablet.otzar.org/",CHAR(35),"/book/155164/p/-1/t/1/fs/0/start/0/end/0/c")</f>
        <v>https://tablet.otzar.org/#/book/155164/p/-1/t/1/fs/0/start/0/end/0/c</v>
      </c>
    </row>
    <row r="9" spans="1:8" x14ac:dyDescent="0.25">
      <c r="A9">
        <v>158406</v>
      </c>
      <c r="B9" t="s">
        <v>34</v>
      </c>
      <c r="C9" t="s">
        <v>35</v>
      </c>
      <c r="D9" t="s">
        <v>10</v>
      </c>
      <c r="E9" t="s">
        <v>36</v>
      </c>
      <c r="F9" t="s">
        <v>23</v>
      </c>
      <c r="G9" t="str">
        <f>HYPERLINK(_xlfn.CONCAT("https://tablet.otzar.org/",CHAR(35),"/book/158406/p/-1/t/1/fs/0/start/0/end/0/c"),"אגרות רבי יצחק אייזיק הלוי")</f>
        <v>אגרות רבי יצחק אייזיק הלוי</v>
      </c>
      <c r="H9" t="str">
        <f>_xlfn.CONCAT("https://tablet.otzar.org/",CHAR(35),"/book/158406/p/-1/t/1/fs/0/start/0/end/0/c")</f>
        <v>https://tablet.otzar.org/#/book/158406/p/-1/t/1/fs/0/start/0/end/0/c</v>
      </c>
    </row>
    <row r="10" spans="1:8" x14ac:dyDescent="0.25">
      <c r="A10">
        <v>157066</v>
      </c>
      <c r="B10" t="s">
        <v>37</v>
      </c>
      <c r="C10" t="s">
        <v>38</v>
      </c>
      <c r="D10" t="s">
        <v>10</v>
      </c>
      <c r="E10" t="s">
        <v>39</v>
      </c>
      <c r="F10" t="s">
        <v>40</v>
      </c>
      <c r="G10" t="str">
        <f>HYPERLINK(_xlfn.CONCAT("https://tablet.otzar.org/",CHAR(35),"/book/157066/p/-1/t/1/fs/0/start/0/end/0/c"),"אגרת בעלי חיים")</f>
        <v>אגרת בעלי חיים</v>
      </c>
      <c r="H10" t="str">
        <f>_xlfn.CONCAT("https://tablet.otzar.org/",CHAR(35),"/book/157066/p/-1/t/1/fs/0/start/0/end/0/c")</f>
        <v>https://tablet.otzar.org/#/book/157066/p/-1/t/1/fs/0/start/0/end/0/c</v>
      </c>
    </row>
    <row r="11" spans="1:8" x14ac:dyDescent="0.25">
      <c r="A11">
        <v>622915</v>
      </c>
      <c r="B11" t="s">
        <v>41</v>
      </c>
      <c r="C11" t="s">
        <v>42</v>
      </c>
      <c r="D11" t="s">
        <v>10</v>
      </c>
      <c r="E11" t="s">
        <v>43</v>
      </c>
      <c r="F11" t="s">
        <v>23</v>
      </c>
      <c r="G11" t="str">
        <f>HYPERLINK(_xlfn.CONCAT("https://tablet.otzar.org/",CHAR(35),"/book/622915/p/-1/t/1/fs/0/start/0/end/0/c"),"אגרת המופת")</f>
        <v>אגרת המופת</v>
      </c>
      <c r="H11" t="str">
        <f>_xlfn.CONCAT("https://tablet.otzar.org/",CHAR(35),"/book/622915/p/-1/t/1/fs/0/start/0/end/0/c")</f>
        <v>https://tablet.otzar.org/#/book/622915/p/-1/t/1/fs/0/start/0/end/0/c</v>
      </c>
    </row>
    <row r="12" spans="1:8" x14ac:dyDescent="0.25">
      <c r="A12">
        <v>155565</v>
      </c>
      <c r="B12" t="s">
        <v>44</v>
      </c>
      <c r="C12" t="s">
        <v>45</v>
      </c>
      <c r="D12" t="s">
        <v>10</v>
      </c>
      <c r="E12" t="s">
        <v>46</v>
      </c>
      <c r="F12" t="s">
        <v>23</v>
      </c>
      <c r="G12" t="str">
        <f>HYPERLINK(_xlfn.CONCAT("https://tablet.otzar.org/",CHAR(35),"/book/155565/p/-1/t/1/fs/0/start/0/end/0/c"),"אגרת הנחמה &lt;מוה""""ק&gt;")</f>
        <v>אגרת הנחמה &lt;מוה""ק&gt;</v>
      </c>
      <c r="H12" t="str">
        <f>_xlfn.CONCAT("https://tablet.otzar.org/",CHAR(35),"/book/155565/p/-1/t/1/fs/0/start/0/end/0/c")</f>
        <v>https://tablet.otzar.org/#/book/155565/p/-1/t/1/fs/0/start/0/end/0/c</v>
      </c>
    </row>
    <row r="13" spans="1:8" x14ac:dyDescent="0.25">
      <c r="A13">
        <v>677751</v>
      </c>
      <c r="B13" t="s">
        <v>47</v>
      </c>
      <c r="C13" t="s">
        <v>48</v>
      </c>
      <c r="D13" t="s">
        <v>10</v>
      </c>
      <c r="E13" t="s">
        <v>49</v>
      </c>
      <c r="F13" t="s">
        <v>23</v>
      </c>
      <c r="G13" t="str">
        <f>HYPERLINK(_xlfn.CONCAT("https://tablet.otzar.org/",CHAR(35),"/book/677751/p/-1/t/1/fs/0/start/0/end/0/c"),"אגרת שנית של רב שרירא גאון &lt;מוה""""ק&gt;")</f>
        <v>אגרת שנית של רב שרירא גאון &lt;מוה""ק&gt;</v>
      </c>
      <c r="H13" t="str">
        <f>_xlfn.CONCAT("https://tablet.otzar.org/",CHAR(35),"/book/677751/p/-1/t/1/fs/0/start/0/end/0/c")</f>
        <v>https://tablet.otzar.org/#/book/677751/p/-1/t/1/fs/0/start/0/end/0/c</v>
      </c>
    </row>
    <row r="14" spans="1:8" x14ac:dyDescent="0.25">
      <c r="A14">
        <v>155590</v>
      </c>
      <c r="B14" t="s">
        <v>50</v>
      </c>
      <c r="C14" t="s">
        <v>51</v>
      </c>
      <c r="D14" t="s">
        <v>10</v>
      </c>
      <c r="E14" t="s">
        <v>52</v>
      </c>
      <c r="F14" t="s">
        <v>12</v>
      </c>
      <c r="G14" t="str">
        <f>HYPERLINK(_xlfn.CONCAT("https://tablet.otzar.org/",CHAR(35),"/book/155590/p/-1/t/1/fs/0/start/0/end/0/c"),"אדמו""""רים שנספו בשואה")</f>
        <v>אדמו""רים שנספו בשואה</v>
      </c>
      <c r="H14" t="str">
        <f>_xlfn.CONCAT("https://tablet.otzar.org/",CHAR(35),"/book/155590/p/-1/t/1/fs/0/start/0/end/0/c")</f>
        <v>https://tablet.otzar.org/#/book/155590/p/-1/t/1/fs/0/start/0/end/0/c</v>
      </c>
    </row>
    <row r="15" spans="1:8" x14ac:dyDescent="0.25">
      <c r="A15">
        <v>154977</v>
      </c>
      <c r="B15" t="s">
        <v>53</v>
      </c>
      <c r="C15" t="s">
        <v>21</v>
      </c>
      <c r="D15" t="s">
        <v>10</v>
      </c>
      <c r="E15" t="s">
        <v>54</v>
      </c>
      <c r="F15" t="s">
        <v>55</v>
      </c>
      <c r="G15" t="str">
        <f>HYPERLINK(_xlfn.CONCAT("https://tablet.otzar.org/",CHAR(35),"/book/154977/p/-1/t/1/fs/0/start/0/end/0/c"),"אדר היקר ועקבי הצאן")</f>
        <v>אדר היקר ועקבי הצאן</v>
      </c>
      <c r="H15" t="str">
        <f>_xlfn.CONCAT("https://tablet.otzar.org/",CHAR(35),"/book/154977/p/-1/t/1/fs/0/start/0/end/0/c")</f>
        <v>https://tablet.otzar.org/#/book/154977/p/-1/t/1/fs/0/start/0/end/0/c</v>
      </c>
    </row>
    <row r="16" spans="1:8" x14ac:dyDescent="0.25">
      <c r="A16">
        <v>157318</v>
      </c>
      <c r="B16" t="s">
        <v>56</v>
      </c>
      <c r="C16" t="s">
        <v>57</v>
      </c>
      <c r="D16" t="s">
        <v>10</v>
      </c>
      <c r="E16" t="s">
        <v>58</v>
      </c>
      <c r="F16" t="s">
        <v>59</v>
      </c>
      <c r="G16" t="str">
        <f>HYPERLINK(_xlfn.CONCAT("https://tablet.otzar.org/",CHAR(35),"/exKotar/157318"),"אדרת אליהו - 2 כרכים")</f>
        <v>אדרת אליהו - 2 כרכים</v>
      </c>
      <c r="H16" t="str">
        <f>_xlfn.CONCAT("https://tablet.otzar.org/",CHAR(35),"/exKotar/157318")</f>
        <v>https://tablet.otzar.org/#/exKotar/157318</v>
      </c>
    </row>
    <row r="17" spans="1:8" x14ac:dyDescent="0.25">
      <c r="A17">
        <v>688799</v>
      </c>
      <c r="B17" t="s">
        <v>60</v>
      </c>
      <c r="C17" t="s">
        <v>61</v>
      </c>
      <c r="D17" t="s">
        <v>10</v>
      </c>
      <c r="E17" t="s">
        <v>62</v>
      </c>
      <c r="G17" t="str">
        <f>HYPERLINK(_xlfn.CONCAT("https://tablet.otzar.org/",CHAR(35),"/exKotar/688799"),"אדרת אליהו &lt;מהדורת מוסד הרב קוק&gt; - 3 כרכים")</f>
        <v>אדרת אליהו &lt;מהדורת מוסד הרב קוק&gt; - 3 כרכים</v>
      </c>
      <c r="H17" t="str">
        <f>_xlfn.CONCAT("https://tablet.otzar.org/",CHAR(35),"/exKotar/688799")</f>
        <v>https://tablet.otzar.org/#/exKotar/688799</v>
      </c>
    </row>
    <row r="18" spans="1:8" x14ac:dyDescent="0.25">
      <c r="A18">
        <v>601658</v>
      </c>
      <c r="B18" t="s">
        <v>63</v>
      </c>
      <c r="C18" t="s">
        <v>64</v>
      </c>
      <c r="D18" t="s">
        <v>10</v>
      </c>
      <c r="E18" t="s">
        <v>65</v>
      </c>
      <c r="F18" t="s">
        <v>23</v>
      </c>
      <c r="G18" t="str">
        <f>HYPERLINK(_xlfn.CONCAT("https://tablet.otzar.org/",CHAR(35),"/book/601658/p/-1/t/1/fs/0/start/0/end/0/c"),"אוסף כתביו של דב זלוטניק (באנגלית)")</f>
        <v>אוסף כתביו של דב זלוטניק (באנגלית)</v>
      </c>
      <c r="H18" t="str">
        <f>_xlfn.CONCAT("https://tablet.otzar.org/",CHAR(35),"/book/601658/p/-1/t/1/fs/0/start/0/end/0/c")</f>
        <v>https://tablet.otzar.org/#/book/601658/p/-1/t/1/fs/0/start/0/end/0/c</v>
      </c>
    </row>
    <row r="19" spans="1:8" x14ac:dyDescent="0.25">
      <c r="A19">
        <v>155090</v>
      </c>
      <c r="B19" t="s">
        <v>66</v>
      </c>
      <c r="C19" t="s">
        <v>67</v>
      </c>
      <c r="D19" t="s">
        <v>10</v>
      </c>
      <c r="E19" t="s">
        <v>68</v>
      </c>
      <c r="F19" t="s">
        <v>69</v>
      </c>
      <c r="G19" t="str">
        <f>HYPERLINK(_xlfn.CONCAT("https://tablet.otzar.org/",CHAR(35),"/exKotar/155090"),"אוצר האגדה - 3 כרכים")</f>
        <v>אוצר האגדה - 3 כרכים</v>
      </c>
      <c r="H19" t="str">
        <f>_xlfn.CONCAT("https://tablet.otzar.org/",CHAR(35),"/exKotar/155090")</f>
        <v>https://tablet.otzar.org/#/exKotar/155090</v>
      </c>
    </row>
    <row r="20" spans="1:8" x14ac:dyDescent="0.25">
      <c r="A20">
        <v>181036</v>
      </c>
      <c r="B20" t="s">
        <v>70</v>
      </c>
      <c r="C20" t="s">
        <v>71</v>
      </c>
      <c r="D20" t="s">
        <v>10</v>
      </c>
      <c r="E20" t="s">
        <v>72</v>
      </c>
      <c r="F20" t="s">
        <v>19</v>
      </c>
      <c r="G20" t="str">
        <f>HYPERLINK(_xlfn.CONCAT("https://tablet.otzar.org/",CHAR(35),"/exKotar/181036"),"אוצר התורה - 4 כרכים")</f>
        <v>אוצר התורה - 4 כרכים</v>
      </c>
      <c r="H20" t="str">
        <f>_xlfn.CONCAT("https://tablet.otzar.org/",CHAR(35),"/exKotar/181036")</f>
        <v>https://tablet.otzar.org/#/exKotar/181036</v>
      </c>
    </row>
    <row r="21" spans="1:8" x14ac:dyDescent="0.25">
      <c r="A21">
        <v>157617</v>
      </c>
      <c r="B21" t="s">
        <v>73</v>
      </c>
      <c r="C21" t="s">
        <v>74</v>
      </c>
      <c r="D21" t="s">
        <v>10</v>
      </c>
      <c r="E21" t="s">
        <v>75</v>
      </c>
      <c r="F21" t="s">
        <v>76</v>
      </c>
      <c r="G21" t="str">
        <f>HYPERLINK(_xlfn.CONCAT("https://tablet.otzar.org/",CHAR(35),"/book/157617/p/-1/t/1/fs/0/start/0/end/0/c"),"אוצר התרגום")</f>
        <v>אוצר התרגום</v>
      </c>
      <c r="H21" t="str">
        <f>_xlfn.CONCAT("https://tablet.otzar.org/",CHAR(35),"/book/157617/p/-1/t/1/fs/0/start/0/end/0/c")</f>
        <v>https://tablet.otzar.org/#/book/157617/p/-1/t/1/fs/0/start/0/end/0/c</v>
      </c>
    </row>
    <row r="22" spans="1:8" x14ac:dyDescent="0.25">
      <c r="A22">
        <v>154992</v>
      </c>
      <c r="B22" t="s">
        <v>77</v>
      </c>
      <c r="C22" t="s">
        <v>21</v>
      </c>
      <c r="E22" t="s">
        <v>78</v>
      </c>
      <c r="F22" t="s">
        <v>55</v>
      </c>
      <c r="G22" t="str">
        <f>HYPERLINK(_xlfn.CONCAT("https://tablet.otzar.org/",CHAR(35),"/book/154992/p/-1/t/1/fs/0/start/0/end/0/c"),"אורות")</f>
        <v>אורות</v>
      </c>
      <c r="H22" t="str">
        <f>_xlfn.CONCAT("https://tablet.otzar.org/",CHAR(35),"/book/154992/p/-1/t/1/fs/0/start/0/end/0/c")</f>
        <v>https://tablet.otzar.org/#/book/154992/p/-1/t/1/fs/0/start/0/end/0/c</v>
      </c>
    </row>
    <row r="23" spans="1:8" x14ac:dyDescent="0.25">
      <c r="A23">
        <v>154979</v>
      </c>
      <c r="B23" t="s">
        <v>79</v>
      </c>
      <c r="C23" t="s">
        <v>21</v>
      </c>
      <c r="D23" t="s">
        <v>10</v>
      </c>
      <c r="E23" t="s">
        <v>80</v>
      </c>
      <c r="F23" t="s">
        <v>33</v>
      </c>
      <c r="G23" t="str">
        <f>HYPERLINK(_xlfn.CONCAT("https://tablet.otzar.org/",CHAR(35),"/exKotar/154979"),"אורות הקודש - 4 כרכים")</f>
        <v>אורות הקודש - 4 כרכים</v>
      </c>
      <c r="H23" t="str">
        <f>_xlfn.CONCAT("https://tablet.otzar.org/",CHAR(35),"/exKotar/154979")</f>
        <v>https://tablet.otzar.org/#/exKotar/154979</v>
      </c>
    </row>
    <row r="24" spans="1:8" x14ac:dyDescent="0.25">
      <c r="A24">
        <v>154995</v>
      </c>
      <c r="B24" t="s">
        <v>81</v>
      </c>
      <c r="C24" t="s">
        <v>21</v>
      </c>
      <c r="D24" t="s">
        <v>10</v>
      </c>
      <c r="E24" t="s">
        <v>80</v>
      </c>
      <c r="F24" t="s">
        <v>33</v>
      </c>
      <c r="G24" t="str">
        <f>HYPERLINK(_xlfn.CONCAT("https://tablet.otzar.org/",CHAR(35),"/book/154995/p/-1/t/1/fs/0/start/0/end/0/c"),"אורות הראיה")</f>
        <v>אורות הראיה</v>
      </c>
      <c r="H24" t="str">
        <f>_xlfn.CONCAT("https://tablet.otzar.org/",CHAR(35),"/book/154995/p/-1/t/1/fs/0/start/0/end/0/c")</f>
        <v>https://tablet.otzar.org/#/book/154995/p/-1/t/1/fs/0/start/0/end/0/c</v>
      </c>
    </row>
    <row r="25" spans="1:8" x14ac:dyDescent="0.25">
      <c r="A25">
        <v>155214</v>
      </c>
      <c r="B25" t="s">
        <v>82</v>
      </c>
      <c r="C25" t="s">
        <v>83</v>
      </c>
      <c r="D25" t="s">
        <v>10</v>
      </c>
      <c r="E25" t="s">
        <v>84</v>
      </c>
      <c r="F25" t="s">
        <v>85</v>
      </c>
      <c r="G25" t="str">
        <f>HYPERLINK(_xlfn.CONCAT("https://tablet.otzar.org/",CHAR(35),"/book/155214/p/-1/t/1/fs/0/start/0/end/0/c"),"אורות הרמב""""ם")</f>
        <v>אורות הרמב""ם</v>
      </c>
      <c r="H25" t="str">
        <f>_xlfn.CONCAT("https://tablet.otzar.org/",CHAR(35),"/book/155214/p/-1/t/1/fs/0/start/0/end/0/c")</f>
        <v>https://tablet.otzar.org/#/book/155214/p/-1/t/1/fs/0/start/0/end/0/c</v>
      </c>
    </row>
    <row r="26" spans="1:8" x14ac:dyDescent="0.25">
      <c r="A26">
        <v>154993</v>
      </c>
      <c r="B26" t="s">
        <v>86</v>
      </c>
      <c r="C26" t="s">
        <v>21</v>
      </c>
      <c r="D26" t="s">
        <v>10</v>
      </c>
      <c r="E26" t="s">
        <v>87</v>
      </c>
      <c r="F26" t="s">
        <v>55</v>
      </c>
      <c r="G26" t="str">
        <f>HYPERLINK(_xlfn.CONCAT("https://tablet.otzar.org/",CHAR(35),"/book/154993/p/-1/t/1/fs/0/start/0/end/0/c"),"אורות התורה")</f>
        <v>אורות התורה</v>
      </c>
      <c r="H26" t="str">
        <f>_xlfn.CONCAT("https://tablet.otzar.org/",CHAR(35),"/book/154993/p/-1/t/1/fs/0/start/0/end/0/c")</f>
        <v>https://tablet.otzar.org/#/book/154993/p/-1/t/1/fs/0/start/0/end/0/c</v>
      </c>
    </row>
    <row r="27" spans="1:8" x14ac:dyDescent="0.25">
      <c r="A27">
        <v>154994</v>
      </c>
      <c r="B27" t="s">
        <v>88</v>
      </c>
      <c r="C27" t="s">
        <v>21</v>
      </c>
      <c r="D27" t="s">
        <v>10</v>
      </c>
      <c r="E27" t="s">
        <v>80</v>
      </c>
      <c r="F27" t="s">
        <v>55</v>
      </c>
      <c r="G27" t="str">
        <f>HYPERLINK(_xlfn.CONCAT("https://tablet.otzar.org/",CHAR(35),"/book/154994/p/-1/t/1/fs/0/start/0/end/0/c"),"אורות התשובה")</f>
        <v>אורות התשובה</v>
      </c>
      <c r="H27" t="str">
        <f>_xlfn.CONCAT("https://tablet.otzar.org/",CHAR(35),"/book/154994/p/-1/t/1/fs/0/start/0/end/0/c")</f>
        <v>https://tablet.otzar.org/#/book/154994/p/-1/t/1/fs/0/start/0/end/0/c</v>
      </c>
    </row>
    <row r="28" spans="1:8" x14ac:dyDescent="0.25">
      <c r="A28">
        <v>154987</v>
      </c>
      <c r="B28" t="s">
        <v>89</v>
      </c>
      <c r="C28" t="s">
        <v>21</v>
      </c>
      <c r="D28" t="s">
        <v>10</v>
      </c>
      <c r="E28" t="s">
        <v>80</v>
      </c>
      <c r="F28" t="s">
        <v>59</v>
      </c>
      <c r="G28" t="str">
        <f>HYPERLINK(_xlfn.CONCAT("https://tablet.otzar.org/",CHAR(35),"/book/154987/p/-1/t/1/fs/0/start/0/end/0/c"),"אורח משפט")</f>
        <v>אורח משפט</v>
      </c>
      <c r="H28" t="str">
        <f>_xlfn.CONCAT("https://tablet.otzar.org/",CHAR(35),"/book/154987/p/-1/t/1/fs/0/start/0/end/0/c")</f>
        <v>https://tablet.otzar.org/#/book/154987/p/-1/t/1/fs/0/start/0/end/0/c</v>
      </c>
    </row>
    <row r="29" spans="1:8" x14ac:dyDescent="0.25">
      <c r="A29">
        <v>157377</v>
      </c>
      <c r="B29" t="s">
        <v>90</v>
      </c>
      <c r="C29" t="s">
        <v>91</v>
      </c>
      <c r="D29" t="s">
        <v>10</v>
      </c>
      <c r="E29" t="s">
        <v>92</v>
      </c>
      <c r="F29" t="s">
        <v>85</v>
      </c>
      <c r="G29" t="str">
        <f>HYPERLINK(_xlfn.CONCAT("https://tablet.otzar.org/",CHAR(35),"/book/157377/p/-1/t/1/fs/0/start/0/end/0/c"),"אורחות משפט")</f>
        <v>אורחות משפט</v>
      </c>
      <c r="H29" t="str">
        <f>_xlfn.CONCAT("https://tablet.otzar.org/",CHAR(35),"/book/157377/p/-1/t/1/fs/0/start/0/end/0/c")</f>
        <v>https://tablet.otzar.org/#/book/157377/p/-1/t/1/fs/0/start/0/end/0/c</v>
      </c>
    </row>
    <row r="30" spans="1:8" x14ac:dyDescent="0.25">
      <c r="A30">
        <v>647279</v>
      </c>
      <c r="B30" t="s">
        <v>93</v>
      </c>
      <c r="C30" t="s">
        <v>94</v>
      </c>
      <c r="D30" t="s">
        <v>10</v>
      </c>
      <c r="E30" t="s">
        <v>49</v>
      </c>
      <c r="F30" t="s">
        <v>85</v>
      </c>
      <c r="G30" t="str">
        <f>HYPERLINK(_xlfn.CONCAT("https://tablet.otzar.org/",CHAR(35),"/exKotar/647279"),"אורי וישעי - 2 כרכים")</f>
        <v>אורי וישעי - 2 כרכים</v>
      </c>
      <c r="H30" t="str">
        <f>_xlfn.CONCAT("https://tablet.otzar.org/",CHAR(35),"/exKotar/647279")</f>
        <v>https://tablet.otzar.org/#/exKotar/647279</v>
      </c>
    </row>
    <row r="31" spans="1:8" x14ac:dyDescent="0.25">
      <c r="A31">
        <v>156381</v>
      </c>
      <c r="B31" t="s">
        <v>95</v>
      </c>
      <c r="C31" t="s">
        <v>21</v>
      </c>
      <c r="D31" t="s">
        <v>10</v>
      </c>
      <c r="E31" t="s">
        <v>96</v>
      </c>
      <c r="F31" t="s">
        <v>97</v>
      </c>
      <c r="G31" t="str">
        <f>HYPERLINK(_xlfn.CONCAT("https://tablet.otzar.org/",CHAR(35),"/book/156381/p/-1/t/1/fs/0/start/0/end/0/c"),"אזכרה - ג")</f>
        <v>אזכרה - ג</v>
      </c>
      <c r="H31" t="str">
        <f>_xlfn.CONCAT("https://tablet.otzar.org/",CHAR(35),"/book/156381/p/-1/t/1/fs/0/start/0/end/0/c")</f>
        <v>https://tablet.otzar.org/#/book/156381/p/-1/t/1/fs/0/start/0/end/0/c</v>
      </c>
    </row>
    <row r="32" spans="1:8" x14ac:dyDescent="0.25">
      <c r="A32">
        <v>606693</v>
      </c>
      <c r="B32" t="s">
        <v>98</v>
      </c>
      <c r="C32" t="s">
        <v>99</v>
      </c>
      <c r="D32" t="s">
        <v>10</v>
      </c>
      <c r="E32" t="s">
        <v>100</v>
      </c>
      <c r="F32" t="s">
        <v>101</v>
      </c>
      <c r="G32" t="str">
        <f>HYPERLINK(_xlfn.CONCAT("https://tablet.otzar.org/",CHAR(35),"/book/606693/p/-1/t/1/fs/0/start/0/end/0/c"),"אחידות ושוני במלאכות שבת")</f>
        <v>אחידות ושוני במלאכות שבת</v>
      </c>
      <c r="H32" t="str">
        <f>_xlfn.CONCAT("https://tablet.otzar.org/",CHAR(35),"/book/606693/p/-1/t/1/fs/0/start/0/end/0/c")</f>
        <v>https://tablet.otzar.org/#/book/606693/p/-1/t/1/fs/0/start/0/end/0/c</v>
      </c>
    </row>
    <row r="33" spans="1:8" x14ac:dyDescent="0.25">
      <c r="A33">
        <v>162990</v>
      </c>
      <c r="B33" t="s">
        <v>102</v>
      </c>
      <c r="C33" t="s">
        <v>103</v>
      </c>
      <c r="D33" t="s">
        <v>10</v>
      </c>
      <c r="E33" t="s">
        <v>104</v>
      </c>
      <c r="F33" t="s">
        <v>12</v>
      </c>
      <c r="G33" t="str">
        <f>HYPERLINK(_xlfn.CONCAT("https://tablet.otzar.org/",CHAR(35),"/book/162990/p/-1/t/1/fs/0/start/0/end/0/c"),"אחרי המבול")</f>
        <v>אחרי המבול</v>
      </c>
      <c r="H33" t="str">
        <f>_xlfn.CONCAT("https://tablet.otzar.org/",CHAR(35),"/book/162990/p/-1/t/1/fs/0/start/0/end/0/c")</f>
        <v>https://tablet.otzar.org/#/book/162990/p/-1/t/1/fs/0/start/0/end/0/c</v>
      </c>
    </row>
    <row r="34" spans="1:8" x14ac:dyDescent="0.25">
      <c r="A34">
        <v>674939</v>
      </c>
      <c r="B34" t="s">
        <v>105</v>
      </c>
      <c r="C34" t="s">
        <v>106</v>
      </c>
      <c r="F34" t="s">
        <v>23</v>
      </c>
      <c r="G34" t="str">
        <f>HYPERLINK(_xlfn.CONCAT("https://tablet.otzar.org/",CHAR(35),"/exKotar/674939"),"אטלס דעת מקרא - 2 כרכים")</f>
        <v>אטלס דעת מקרא - 2 כרכים</v>
      </c>
      <c r="H34" t="str">
        <f>_xlfn.CONCAT("https://tablet.otzar.org/",CHAR(35),"/exKotar/674939")</f>
        <v>https://tablet.otzar.org/#/exKotar/674939</v>
      </c>
    </row>
    <row r="35" spans="1:8" x14ac:dyDescent="0.25">
      <c r="A35">
        <v>155373</v>
      </c>
      <c r="B35" t="s">
        <v>107</v>
      </c>
      <c r="C35" t="s">
        <v>108</v>
      </c>
      <c r="D35" t="s">
        <v>10</v>
      </c>
      <c r="E35" t="s">
        <v>109</v>
      </c>
      <c r="F35" t="s">
        <v>55</v>
      </c>
      <c r="G35" t="str">
        <f>HYPERLINK(_xlfn.CONCAT("https://tablet.otzar.org/",CHAR(35),"/book/155373/p/-1/t/1/fs/0/start/0/end/0/c"),"איש האמונה")</f>
        <v>איש האמונה</v>
      </c>
      <c r="H35" t="str">
        <f>_xlfn.CONCAT("https://tablet.otzar.org/",CHAR(35),"/book/155373/p/-1/t/1/fs/0/start/0/end/0/c")</f>
        <v>https://tablet.otzar.org/#/book/155373/p/-1/t/1/fs/0/start/0/end/0/c</v>
      </c>
    </row>
    <row r="36" spans="1:8" x14ac:dyDescent="0.25">
      <c r="A36">
        <v>155526</v>
      </c>
      <c r="B36" t="s">
        <v>110</v>
      </c>
      <c r="C36" t="s">
        <v>111</v>
      </c>
      <c r="D36" t="s">
        <v>10</v>
      </c>
      <c r="E36" t="s">
        <v>112</v>
      </c>
      <c r="F36" t="s">
        <v>12</v>
      </c>
      <c r="G36" t="str">
        <f>HYPERLINK(_xlfn.CONCAT("https://tablet.otzar.org/",CHAR(35),"/book/155526/p/-1/t/1/fs/0/start/0/end/0/c"),"איש ההגיונות")</f>
        <v>איש ההגיונות</v>
      </c>
      <c r="H36" t="str">
        <f>_xlfn.CONCAT("https://tablet.otzar.org/",CHAR(35),"/book/155526/p/-1/t/1/fs/0/start/0/end/0/c")</f>
        <v>https://tablet.otzar.org/#/book/155526/p/-1/t/1/fs/0/start/0/end/0/c</v>
      </c>
    </row>
    <row r="37" spans="1:8" x14ac:dyDescent="0.25">
      <c r="A37">
        <v>155167</v>
      </c>
      <c r="B37" t="s">
        <v>113</v>
      </c>
      <c r="C37" t="s">
        <v>111</v>
      </c>
      <c r="D37" t="s">
        <v>10</v>
      </c>
      <c r="E37" t="s">
        <v>80</v>
      </c>
      <c r="F37" t="s">
        <v>12</v>
      </c>
      <c r="G37" t="str">
        <f>HYPERLINK(_xlfn.CONCAT("https://tablet.otzar.org/",CHAR(35),"/book/155167/p/-1/t/1/fs/0/start/0/end/0/c"),"איש המאורות - רבי יצחק יעקב ריינס")</f>
        <v>איש המאורות - רבי יצחק יעקב ריינס</v>
      </c>
      <c r="H37" t="str">
        <f>_xlfn.CONCAT("https://tablet.otzar.org/",CHAR(35),"/book/155167/p/-1/t/1/fs/0/start/0/end/0/c")</f>
        <v>https://tablet.otzar.org/#/book/155167/p/-1/t/1/fs/0/start/0/end/0/c</v>
      </c>
    </row>
    <row r="38" spans="1:8" x14ac:dyDescent="0.25">
      <c r="A38">
        <v>638028</v>
      </c>
      <c r="B38" t="s">
        <v>114</v>
      </c>
      <c r="C38" t="s">
        <v>115</v>
      </c>
      <c r="D38" t="s">
        <v>10</v>
      </c>
      <c r="E38" t="s">
        <v>116</v>
      </c>
      <c r="F38" t="s">
        <v>117</v>
      </c>
      <c r="G38" t="str">
        <f>HYPERLINK(_xlfn.CONCAT("https://tablet.otzar.org/",CHAR(35),"/book/638028/p/-1/t/1/fs/0/start/0/end/0/c"),"איש המקרא מול בוראו")</f>
        <v>איש המקרא מול בוראו</v>
      </c>
      <c r="H38" t="str">
        <f>_xlfn.CONCAT("https://tablet.otzar.org/",CHAR(35),"/book/638028/p/-1/t/1/fs/0/start/0/end/0/c")</f>
        <v>https://tablet.otzar.org/#/book/638028/p/-1/t/1/fs/0/start/0/end/0/c</v>
      </c>
    </row>
    <row r="39" spans="1:8" x14ac:dyDescent="0.25">
      <c r="A39">
        <v>156287</v>
      </c>
      <c r="B39" t="s">
        <v>118</v>
      </c>
      <c r="C39" t="s">
        <v>119</v>
      </c>
      <c r="D39" t="s">
        <v>10</v>
      </c>
      <c r="E39" t="s">
        <v>120</v>
      </c>
      <c r="F39" t="s">
        <v>12</v>
      </c>
      <c r="G39" t="str">
        <f>HYPERLINK(_xlfn.CONCAT("https://tablet.otzar.org/",CHAR(35),"/book/156287/p/-1/t/1/fs/0/start/0/end/0/c"),"אישים שהכרתי")</f>
        <v>אישים שהכרתי</v>
      </c>
      <c r="H39" t="str">
        <f>_xlfn.CONCAT("https://tablet.otzar.org/",CHAR(35),"/book/156287/p/-1/t/1/fs/0/start/0/end/0/c")</f>
        <v>https://tablet.otzar.org/#/book/156287/p/-1/t/1/fs/0/start/0/end/0/c</v>
      </c>
    </row>
    <row r="40" spans="1:8" x14ac:dyDescent="0.25">
      <c r="A40">
        <v>157055</v>
      </c>
      <c r="B40" t="s">
        <v>121</v>
      </c>
      <c r="C40" t="s">
        <v>122</v>
      </c>
      <c r="D40" t="s">
        <v>10</v>
      </c>
      <c r="E40" t="s">
        <v>32</v>
      </c>
      <c r="F40" t="s">
        <v>123</v>
      </c>
      <c r="G40" t="str">
        <f>HYPERLINK(_xlfn.CONCAT("https://tablet.otzar.org/",CHAR(35),"/book/157055/p/-1/t/1/fs/0/start/0/end/0/c"),"איתן אריה")</f>
        <v>איתן אריה</v>
      </c>
      <c r="H40" t="str">
        <f>_xlfn.CONCAT("https://tablet.otzar.org/",CHAR(35),"/book/157055/p/-1/t/1/fs/0/start/0/end/0/c")</f>
        <v>https://tablet.otzar.org/#/book/157055/p/-1/t/1/fs/0/start/0/end/0/c</v>
      </c>
    </row>
    <row r="41" spans="1:8" x14ac:dyDescent="0.25">
      <c r="A41">
        <v>603089</v>
      </c>
      <c r="B41" t="s">
        <v>124</v>
      </c>
      <c r="C41" t="s">
        <v>125</v>
      </c>
      <c r="D41" t="s">
        <v>10</v>
      </c>
      <c r="E41" t="s">
        <v>126</v>
      </c>
      <c r="F41" t="s">
        <v>33</v>
      </c>
      <c r="G41" t="str">
        <f>HYPERLINK(_xlfn.CONCAT("https://tablet.otzar.org/",CHAR(35),"/book/603089/p/-1/t/1/fs/0/start/0/end/0/c"),"אל שרשי יהדות")</f>
        <v>אל שרשי יהדות</v>
      </c>
      <c r="H41" t="str">
        <f>_xlfn.CONCAT("https://tablet.otzar.org/",CHAR(35),"/book/603089/p/-1/t/1/fs/0/start/0/end/0/c")</f>
        <v>https://tablet.otzar.org/#/book/603089/p/-1/t/1/fs/0/start/0/end/0/c</v>
      </c>
    </row>
    <row r="42" spans="1:8" x14ac:dyDescent="0.25">
      <c r="A42">
        <v>155114</v>
      </c>
      <c r="B42" t="s">
        <v>127</v>
      </c>
      <c r="C42" t="s">
        <v>71</v>
      </c>
      <c r="D42" t="s">
        <v>10</v>
      </c>
      <c r="E42" t="s">
        <v>46</v>
      </c>
      <c r="F42" t="s">
        <v>128</v>
      </c>
      <c r="G42" t="str">
        <f>HYPERLINK(_xlfn.CONCAT("https://tablet.otzar.org/",CHAR(35),"/exKotar/155114"),"אלה הם מועדי - 3 כרכים")</f>
        <v>אלה הם מועדי - 3 כרכים</v>
      </c>
      <c r="H42" t="str">
        <f>_xlfn.CONCAT("https://tablet.otzar.org/",CHAR(35),"/exKotar/155114")</f>
        <v>https://tablet.otzar.org/#/exKotar/155114</v>
      </c>
    </row>
    <row r="43" spans="1:8" x14ac:dyDescent="0.25">
      <c r="A43">
        <v>156285</v>
      </c>
      <c r="B43" t="s">
        <v>129</v>
      </c>
      <c r="C43" t="s">
        <v>111</v>
      </c>
      <c r="D43" t="s">
        <v>10</v>
      </c>
      <c r="E43" t="s">
        <v>130</v>
      </c>
      <c r="F43" t="s">
        <v>12</v>
      </c>
      <c r="G43" t="str">
        <f>HYPERLINK(_xlfn.CONCAT("https://tablet.otzar.org/",CHAR(35),"/book/156285/p/-1/t/1/fs/0/start/0/end/0/c"),"אלה תולדות")</f>
        <v>אלה תולדות</v>
      </c>
      <c r="H43" t="str">
        <f>_xlfn.CONCAT("https://tablet.otzar.org/",CHAR(35),"/book/156285/p/-1/t/1/fs/0/start/0/end/0/c")</f>
        <v>https://tablet.otzar.org/#/book/156285/p/-1/t/1/fs/0/start/0/end/0/c</v>
      </c>
    </row>
    <row r="44" spans="1:8" x14ac:dyDescent="0.25">
      <c r="A44">
        <v>155551</v>
      </c>
      <c r="B44" t="s">
        <v>131</v>
      </c>
      <c r="C44" t="s">
        <v>115</v>
      </c>
      <c r="D44" t="s">
        <v>10</v>
      </c>
      <c r="E44" t="s">
        <v>132</v>
      </c>
      <c r="F44" t="s">
        <v>117</v>
      </c>
      <c r="G44" t="str">
        <f>HYPERLINK(_xlfn.CONCAT("https://tablet.otzar.org/",CHAR(35),"/book/155551/p/-1/t/1/fs/0/start/0/end/0/c"),"אלי מקרא")</f>
        <v>אלי מקרא</v>
      </c>
      <c r="H44" t="str">
        <f>_xlfn.CONCAT("https://tablet.otzar.org/",CHAR(35),"/book/155551/p/-1/t/1/fs/0/start/0/end/0/c")</f>
        <v>https://tablet.otzar.org/#/book/155551/p/-1/t/1/fs/0/start/0/end/0/c</v>
      </c>
    </row>
    <row r="45" spans="1:8" x14ac:dyDescent="0.25">
      <c r="A45">
        <v>638029</v>
      </c>
      <c r="B45" t="s">
        <v>133</v>
      </c>
      <c r="C45" t="s">
        <v>134</v>
      </c>
      <c r="D45" t="s">
        <v>10</v>
      </c>
      <c r="E45" t="s">
        <v>43</v>
      </c>
      <c r="F45" t="s">
        <v>135</v>
      </c>
      <c r="G45" t="str">
        <f>HYPERLINK(_xlfn.CONCAT("https://tablet.otzar.org/",CHAR(35),"/book/638029/p/-1/t/1/fs/0/start/0/end/0/c"),"אליבא דאמת")</f>
        <v>אליבא דאמת</v>
      </c>
      <c r="H45" t="str">
        <f>_xlfn.CONCAT("https://tablet.otzar.org/",CHAR(35),"/book/638029/p/-1/t/1/fs/0/start/0/end/0/c")</f>
        <v>https://tablet.otzar.org/#/book/638029/p/-1/t/1/fs/0/start/0/end/0/c</v>
      </c>
    </row>
    <row r="46" spans="1:8" x14ac:dyDescent="0.25">
      <c r="A46">
        <v>155357</v>
      </c>
      <c r="B46" t="s">
        <v>136</v>
      </c>
      <c r="C46" t="s">
        <v>137</v>
      </c>
      <c r="D46" t="s">
        <v>10</v>
      </c>
      <c r="E46" t="s">
        <v>132</v>
      </c>
      <c r="F46" t="s">
        <v>55</v>
      </c>
      <c r="G46" t="str">
        <f>HYPERLINK(_xlfn.CONCAT("https://tablet.otzar.org/",CHAR(35),"/book/155357/p/-1/t/1/fs/0/start/0/end/0/c"),"אלף בית של יהדות")</f>
        <v>אלף בית של יהדות</v>
      </c>
      <c r="H46" t="str">
        <f>_xlfn.CONCAT("https://tablet.otzar.org/",CHAR(35),"/book/155357/p/-1/t/1/fs/0/start/0/end/0/c")</f>
        <v>https://tablet.otzar.org/#/book/155357/p/-1/t/1/fs/0/start/0/end/0/c</v>
      </c>
    </row>
    <row r="47" spans="1:8" x14ac:dyDescent="0.25">
      <c r="A47">
        <v>157018</v>
      </c>
      <c r="B47" t="s">
        <v>138</v>
      </c>
      <c r="C47" t="s">
        <v>139</v>
      </c>
      <c r="D47" t="s">
        <v>10</v>
      </c>
      <c r="E47" t="s">
        <v>140</v>
      </c>
      <c r="F47" t="s">
        <v>55</v>
      </c>
      <c r="G47" t="str">
        <f>HYPERLINK(_xlfn.CONCAT("https://tablet.otzar.org/",CHAR(35),"/book/157018/p/-1/t/1/fs/0/start/0/end/0/c"),"אמונה וכפירה")</f>
        <v>אמונה וכפירה</v>
      </c>
      <c r="H47" t="str">
        <f>_xlfn.CONCAT("https://tablet.otzar.org/",CHAR(35),"/book/157018/p/-1/t/1/fs/0/start/0/end/0/c")</f>
        <v>https://tablet.otzar.org/#/book/157018/p/-1/t/1/fs/0/start/0/end/0/c</v>
      </c>
    </row>
    <row r="48" spans="1:8" x14ac:dyDescent="0.25">
      <c r="A48">
        <v>156283</v>
      </c>
      <c r="B48" t="s">
        <v>141</v>
      </c>
      <c r="C48" t="s">
        <v>142</v>
      </c>
      <c r="D48" t="s">
        <v>10</v>
      </c>
      <c r="E48" t="s">
        <v>143</v>
      </c>
      <c r="F48" t="s">
        <v>23</v>
      </c>
      <c r="G48" t="str">
        <f>HYPERLINK(_xlfn.CONCAT("https://tablet.otzar.org/",CHAR(35),"/book/156283/p/-1/t/1/fs/0/start/0/end/0/c"),"אמונים - מאסף לדברי שירה")</f>
        <v>אמונים - מאסף לדברי שירה</v>
      </c>
      <c r="H48" t="str">
        <f>_xlfn.CONCAT("https://tablet.otzar.org/",CHAR(35),"/book/156283/p/-1/t/1/fs/0/start/0/end/0/c")</f>
        <v>https://tablet.otzar.org/#/book/156283/p/-1/t/1/fs/0/start/0/end/0/c</v>
      </c>
    </row>
    <row r="49" spans="1:8" x14ac:dyDescent="0.25">
      <c r="A49">
        <v>156318</v>
      </c>
      <c r="B49" t="s">
        <v>144</v>
      </c>
      <c r="C49" t="s">
        <v>145</v>
      </c>
      <c r="D49" t="s">
        <v>10</v>
      </c>
      <c r="E49" t="s">
        <v>15</v>
      </c>
      <c r="F49" t="s">
        <v>55</v>
      </c>
      <c r="G49" t="str">
        <f>HYPERLINK(_xlfn.CONCAT("https://tablet.otzar.org/",CHAR(35),"/book/156318/p/-1/t/1/fs/0/start/0/end/0/c"),"אמונת היהדות לאור בעיות ימינו")</f>
        <v>אמונת היהדות לאור בעיות ימינו</v>
      </c>
      <c r="H49" t="str">
        <f>_xlfn.CONCAT("https://tablet.otzar.org/",CHAR(35),"/book/156318/p/-1/t/1/fs/0/start/0/end/0/c")</f>
        <v>https://tablet.otzar.org/#/book/156318/p/-1/t/1/fs/0/start/0/end/0/c</v>
      </c>
    </row>
    <row r="50" spans="1:8" x14ac:dyDescent="0.25">
      <c r="A50">
        <v>647363</v>
      </c>
      <c r="B50" t="s">
        <v>146</v>
      </c>
      <c r="C50" t="s">
        <v>147</v>
      </c>
      <c r="D50" t="s">
        <v>10</v>
      </c>
      <c r="E50" t="s">
        <v>49</v>
      </c>
      <c r="F50" t="s">
        <v>148</v>
      </c>
      <c r="G50" t="str">
        <f>HYPERLINK(_xlfn.CONCAT("https://tablet.otzar.org/",CHAR(35),"/exKotar/647363"),"אמר ודעת - 2 כרכים")</f>
        <v>אמר ודעת - 2 כרכים</v>
      </c>
      <c r="H50" t="str">
        <f>_xlfn.CONCAT("https://tablet.otzar.org/",CHAR(35),"/exKotar/647363")</f>
        <v>https://tablet.otzar.org/#/exKotar/647363</v>
      </c>
    </row>
    <row r="51" spans="1:8" x14ac:dyDescent="0.25">
      <c r="A51">
        <v>155184</v>
      </c>
      <c r="B51" t="s">
        <v>149</v>
      </c>
      <c r="C51" t="s">
        <v>150</v>
      </c>
      <c r="D51" t="s">
        <v>10</v>
      </c>
      <c r="E51" t="s">
        <v>22</v>
      </c>
      <c r="F51" t="s">
        <v>12</v>
      </c>
      <c r="G51" t="str">
        <f>HYPERLINK(_xlfn.CONCAT("https://tablet.otzar.org/",CHAR(35),"/book/155184/p/-1/t/1/fs/0/start/0/end/0/c"),"אני מאמין")</f>
        <v>אני מאמין</v>
      </c>
      <c r="H51" t="str">
        <f>_xlfn.CONCAT("https://tablet.otzar.org/",CHAR(35),"/book/155184/p/-1/t/1/fs/0/start/0/end/0/c")</f>
        <v>https://tablet.otzar.org/#/book/155184/p/-1/t/1/fs/0/start/0/end/0/c</v>
      </c>
    </row>
    <row r="52" spans="1:8" x14ac:dyDescent="0.25">
      <c r="A52">
        <v>143451</v>
      </c>
      <c r="B52" t="s">
        <v>151</v>
      </c>
      <c r="C52" t="s">
        <v>152</v>
      </c>
      <c r="D52" t="s">
        <v>10</v>
      </c>
      <c r="E52" t="s">
        <v>153</v>
      </c>
      <c r="F52" t="s">
        <v>154</v>
      </c>
      <c r="G52" t="str">
        <f>HYPERLINK(_xlfn.CONCAT("https://tablet.otzar.org/",CHAR(35),"/exKotar/143451"),"אנציקלופדיה לחסידות - 3 כרכים")</f>
        <v>אנציקלופדיה לחסידות - 3 כרכים</v>
      </c>
      <c r="H52" t="str">
        <f>_xlfn.CONCAT("https://tablet.otzar.org/",CHAR(35),"/exKotar/143451")</f>
        <v>https://tablet.otzar.org/#/exKotar/143451</v>
      </c>
    </row>
    <row r="53" spans="1:8" x14ac:dyDescent="0.25">
      <c r="A53">
        <v>169990</v>
      </c>
      <c r="B53" t="s">
        <v>155</v>
      </c>
      <c r="C53" t="s">
        <v>156</v>
      </c>
      <c r="D53" t="s">
        <v>10</v>
      </c>
      <c r="E53" t="s">
        <v>157</v>
      </c>
      <c r="F53" t="s">
        <v>158</v>
      </c>
      <c r="G53" t="str">
        <f>HYPERLINK(_xlfn.CONCAT("https://tablet.otzar.org/",CHAR(35),"/exKotar/169990"),"אנציקלופדיה ליהדות רומניה - 3 כרכים")</f>
        <v>אנציקלופדיה ליהדות רומניה - 3 כרכים</v>
      </c>
      <c r="H53" t="str">
        <f>_xlfn.CONCAT("https://tablet.otzar.org/",CHAR(35),"/exKotar/169990")</f>
        <v>https://tablet.otzar.org/#/exKotar/169990</v>
      </c>
    </row>
    <row r="54" spans="1:8" x14ac:dyDescent="0.25">
      <c r="A54">
        <v>157007</v>
      </c>
      <c r="B54" t="s">
        <v>159</v>
      </c>
      <c r="C54" t="s">
        <v>160</v>
      </c>
      <c r="D54" t="s">
        <v>10</v>
      </c>
      <c r="E54" t="s">
        <v>161</v>
      </c>
      <c r="F54" t="s">
        <v>23</v>
      </c>
      <c r="G54" t="str">
        <f>HYPERLINK(_xlfn.CONCAT("https://tablet.otzar.org/",CHAR(35),"/exKotar/157007"),"אנציקלופדיה של הציונות הדתית - 6 כרכים")</f>
        <v>אנציקלופדיה של הציונות הדתית - 6 כרכים</v>
      </c>
      <c r="H54" t="str">
        <f>_xlfn.CONCAT("https://tablet.otzar.org/",CHAR(35),"/exKotar/157007")</f>
        <v>https://tablet.otzar.org/#/exKotar/157007</v>
      </c>
    </row>
    <row r="55" spans="1:8" x14ac:dyDescent="0.25">
      <c r="A55">
        <v>155310</v>
      </c>
      <c r="B55" t="s">
        <v>162</v>
      </c>
      <c r="C55" t="s">
        <v>163</v>
      </c>
      <c r="D55" t="s">
        <v>10</v>
      </c>
      <c r="E55" t="s">
        <v>28</v>
      </c>
      <c r="F55" t="s">
        <v>55</v>
      </c>
      <c r="G55" t="str">
        <f>HYPERLINK(_xlfn.CONCAT("https://tablet.otzar.org/",CHAR(35),"/book/155310/p/-1/t/1/fs/0/start/0/end/0/c"),"אסופת מאמרים")</f>
        <v>אסופת מאמרים</v>
      </c>
      <c r="H55" t="str">
        <f>_xlfn.CONCAT("https://tablet.otzar.org/",CHAR(35),"/book/155310/p/-1/t/1/fs/0/start/0/end/0/c")</f>
        <v>https://tablet.otzar.org/#/book/155310/p/-1/t/1/fs/0/start/0/end/0/c</v>
      </c>
    </row>
    <row r="56" spans="1:8" x14ac:dyDescent="0.25">
      <c r="A56">
        <v>194441</v>
      </c>
      <c r="B56" t="s">
        <v>164</v>
      </c>
      <c r="C56" t="s">
        <v>165</v>
      </c>
      <c r="D56" t="s">
        <v>10</v>
      </c>
      <c r="E56" t="s">
        <v>65</v>
      </c>
      <c r="F56" t="s">
        <v>158</v>
      </c>
      <c r="G56" t="str">
        <f>HYPERLINK(_xlfn.CONCAT("https://tablet.otzar.org/",CHAR(35),"/book/194441/p/-1/t/1/fs/0/start/0/end/0/c"),"אעברה נא")</f>
        <v>אעברה נא</v>
      </c>
      <c r="H56" t="str">
        <f>_xlfn.CONCAT("https://tablet.otzar.org/",CHAR(35),"/book/194441/p/-1/t/1/fs/0/start/0/end/0/c")</f>
        <v>https://tablet.otzar.org/#/book/194441/p/-1/t/1/fs/0/start/0/end/0/c</v>
      </c>
    </row>
    <row r="57" spans="1:8" x14ac:dyDescent="0.25">
      <c r="A57">
        <v>156309</v>
      </c>
      <c r="B57" t="s">
        <v>166</v>
      </c>
      <c r="C57" t="s">
        <v>167</v>
      </c>
      <c r="D57" t="s">
        <v>10</v>
      </c>
      <c r="E57" t="s">
        <v>18</v>
      </c>
      <c r="F57" t="s">
        <v>19</v>
      </c>
      <c r="G57" t="str">
        <f>HYPERLINK(_xlfn.CONCAT("https://tablet.otzar.org/",CHAR(35),"/book/156309/p/-1/t/1/fs/0/start/0/end/0/c"),"ארחים")</f>
        <v>ארחים</v>
      </c>
      <c r="H57" t="str">
        <f>_xlfn.CONCAT("https://tablet.otzar.org/",CHAR(35),"/book/156309/p/-1/t/1/fs/0/start/0/end/0/c")</f>
        <v>https://tablet.otzar.org/#/book/156309/p/-1/t/1/fs/0/start/0/end/0/c</v>
      </c>
    </row>
    <row r="58" spans="1:8" x14ac:dyDescent="0.25">
      <c r="A58">
        <v>156291</v>
      </c>
      <c r="B58" t="s">
        <v>168</v>
      </c>
      <c r="C58" t="s">
        <v>169</v>
      </c>
      <c r="D58" t="s">
        <v>10</v>
      </c>
      <c r="E58" t="s">
        <v>54</v>
      </c>
      <c r="F58" t="s">
        <v>23</v>
      </c>
      <c r="G58" t="str">
        <f>HYPERLINK(_xlfn.CONCAT("https://tablet.otzar.org/",CHAR(35),"/book/156291/p/-1/t/1/fs/0/start/0/end/0/c"),"ארץ הגליל")</f>
        <v>ארץ הגליל</v>
      </c>
      <c r="H58" t="str">
        <f>_xlfn.CONCAT("https://tablet.otzar.org/",CHAR(35),"/book/156291/p/-1/t/1/fs/0/start/0/end/0/c")</f>
        <v>https://tablet.otzar.org/#/book/156291/p/-1/t/1/fs/0/start/0/end/0/c</v>
      </c>
    </row>
    <row r="59" spans="1:8" x14ac:dyDescent="0.25">
      <c r="A59">
        <v>155094</v>
      </c>
      <c r="B59" t="s">
        <v>170</v>
      </c>
      <c r="C59" t="s">
        <v>171</v>
      </c>
      <c r="D59" t="s">
        <v>10</v>
      </c>
      <c r="E59" t="s">
        <v>172</v>
      </c>
      <c r="F59" t="s">
        <v>29</v>
      </c>
      <c r="G59" t="str">
        <f>HYPERLINK(_xlfn.CONCAT("https://tablet.otzar.org/",CHAR(35),"/exKotar/155094"),"ארץ חמדה - 2 כרכים")</f>
        <v>ארץ חמדה - 2 כרכים</v>
      </c>
      <c r="H59" t="str">
        <f>_xlfn.CONCAT("https://tablet.otzar.org/",CHAR(35),"/exKotar/155094")</f>
        <v>https://tablet.otzar.org/#/exKotar/155094</v>
      </c>
    </row>
    <row r="60" spans="1:8" x14ac:dyDescent="0.25">
      <c r="A60">
        <v>158445</v>
      </c>
      <c r="B60" t="s">
        <v>173</v>
      </c>
      <c r="C60" t="s">
        <v>174</v>
      </c>
      <c r="D60" t="s">
        <v>10</v>
      </c>
      <c r="E60" t="s">
        <v>54</v>
      </c>
      <c r="F60" t="s">
        <v>23</v>
      </c>
      <c r="G60" t="str">
        <f>HYPERLINK(_xlfn.CONCAT("https://tablet.otzar.org/",CHAR(35),"/exKotar/158445"),"ארץ ישראל בספרות התשובות - 3 כרכים")</f>
        <v>ארץ ישראל בספרות התשובות - 3 כרכים</v>
      </c>
      <c r="H60" t="str">
        <f>_xlfn.CONCAT("https://tablet.otzar.org/",CHAR(35),"/exKotar/158445")</f>
        <v>https://tablet.otzar.org/#/exKotar/158445</v>
      </c>
    </row>
    <row r="61" spans="1:8" x14ac:dyDescent="0.25">
      <c r="A61">
        <v>158437</v>
      </c>
      <c r="B61" t="s">
        <v>175</v>
      </c>
      <c r="C61" t="s">
        <v>176</v>
      </c>
      <c r="D61" t="s">
        <v>10</v>
      </c>
      <c r="E61" t="s">
        <v>177</v>
      </c>
      <c r="F61" t="s">
        <v>97</v>
      </c>
      <c r="G61" t="str">
        <f>HYPERLINK(_xlfn.CONCAT("https://tablet.otzar.org/",CHAR(35),"/book/158437/p/-1/t/1/fs/0/start/0/end/0/c"),"ארשת - ג")</f>
        <v>ארשת - ג</v>
      </c>
      <c r="H61" t="str">
        <f>_xlfn.CONCAT("https://tablet.otzar.org/",CHAR(35),"/book/158437/p/-1/t/1/fs/0/start/0/end/0/c")</f>
        <v>https://tablet.otzar.org/#/book/158437/p/-1/t/1/fs/0/start/0/end/0/c</v>
      </c>
    </row>
    <row r="62" spans="1:8" x14ac:dyDescent="0.25">
      <c r="A62">
        <v>83938</v>
      </c>
      <c r="B62" t="s">
        <v>178</v>
      </c>
      <c r="C62" t="s">
        <v>179</v>
      </c>
      <c r="D62" t="s">
        <v>10</v>
      </c>
      <c r="E62" t="s">
        <v>180</v>
      </c>
      <c r="F62" t="s">
        <v>181</v>
      </c>
      <c r="G62" t="str">
        <f>HYPERLINK(_xlfn.CONCAT("https://tablet.otzar.org/",CHAR(35),"/book/83938/p/-1/t/1/fs/0/start/0/end/0/c"),"אשדות ימים")</f>
        <v>אשדות ימים</v>
      </c>
      <c r="H62" t="str">
        <f>_xlfn.CONCAT("https://tablet.otzar.org/",CHAR(35),"/book/83938/p/-1/t/1/fs/0/start/0/end/0/c")</f>
        <v>https://tablet.otzar.org/#/book/83938/p/-1/t/1/fs/0/start/0/end/0/c</v>
      </c>
    </row>
    <row r="63" spans="1:8" x14ac:dyDescent="0.25">
      <c r="A63">
        <v>627295</v>
      </c>
      <c r="B63" t="s">
        <v>182</v>
      </c>
      <c r="C63" t="s">
        <v>183</v>
      </c>
      <c r="D63" t="s">
        <v>10</v>
      </c>
      <c r="E63" t="s">
        <v>43</v>
      </c>
      <c r="F63" t="s">
        <v>19</v>
      </c>
      <c r="G63" t="str">
        <f>HYPERLINK(_xlfn.CONCAT("https://tablet.otzar.org/",CHAR(35),"/book/627295/p/-1/t/1/fs/0/start/0/end/0/c"),"אשת חיל מבואר ומפורש")</f>
        <v>אשת חיל מבואר ומפורש</v>
      </c>
      <c r="H63" t="str">
        <f>_xlfn.CONCAT("https://tablet.otzar.org/",CHAR(35),"/book/627295/p/-1/t/1/fs/0/start/0/end/0/c")</f>
        <v>https://tablet.otzar.org/#/book/627295/p/-1/t/1/fs/0/start/0/end/0/c</v>
      </c>
    </row>
    <row r="64" spans="1:8" x14ac:dyDescent="0.25">
      <c r="A64">
        <v>170006</v>
      </c>
      <c r="B64" t="s">
        <v>184</v>
      </c>
      <c r="C64" t="s">
        <v>71</v>
      </c>
      <c r="D64" t="s">
        <v>10</v>
      </c>
      <c r="E64" t="s">
        <v>157</v>
      </c>
      <c r="F64" t="s">
        <v>85</v>
      </c>
      <c r="G64" t="str">
        <f>HYPERLINK(_xlfn.CONCAT("https://tablet.otzar.org/",CHAR(35),"/book/170006/p/-1/t/1/fs/0/start/0/end/0/c"),"אתקינו סעודתא")</f>
        <v>אתקינו סעודתא</v>
      </c>
      <c r="H64" t="str">
        <f>_xlfn.CONCAT("https://tablet.otzar.org/",CHAR(35),"/book/170006/p/-1/t/1/fs/0/start/0/end/0/c")</f>
        <v>https://tablet.otzar.org/#/book/170006/p/-1/t/1/fs/0/start/0/end/0/c</v>
      </c>
    </row>
    <row r="65" spans="1:8" x14ac:dyDescent="0.25">
      <c r="A65">
        <v>194451</v>
      </c>
      <c r="B65" t="s">
        <v>185</v>
      </c>
      <c r="C65" t="s">
        <v>186</v>
      </c>
      <c r="D65" t="s">
        <v>10</v>
      </c>
      <c r="E65" t="s">
        <v>187</v>
      </c>
      <c r="F65" t="s">
        <v>23</v>
      </c>
      <c r="G65" t="str">
        <f>HYPERLINK(_xlfn.CONCAT("https://tablet.otzar.org/",CHAR(35),"/book/194451/p/-1/t/1/fs/0/start/0/end/0/c"),"באר השר")</f>
        <v>באר השר</v>
      </c>
      <c r="H65" t="str">
        <f>_xlfn.CONCAT("https://tablet.otzar.org/",CHAR(35),"/book/194451/p/-1/t/1/fs/0/start/0/end/0/c")</f>
        <v>https://tablet.otzar.org/#/book/194451/p/-1/t/1/fs/0/start/0/end/0/c</v>
      </c>
    </row>
    <row r="66" spans="1:8" x14ac:dyDescent="0.25">
      <c r="A66">
        <v>156207</v>
      </c>
      <c r="B66" t="s">
        <v>188</v>
      </c>
      <c r="C66" t="s">
        <v>189</v>
      </c>
      <c r="D66" t="s">
        <v>10</v>
      </c>
      <c r="E66" t="s">
        <v>18</v>
      </c>
      <c r="F66" t="s">
        <v>12</v>
      </c>
      <c r="G66" t="str">
        <f>HYPERLINK(_xlfn.CONCAT("https://tablet.otzar.org/",CHAR(35),"/book/156207/p/-1/t/1/fs/0/start/0/end/0/c"),"בהיכל איזביצא לובלין")</f>
        <v>בהיכל איזביצא לובלין</v>
      </c>
      <c r="H66" t="str">
        <f>_xlfn.CONCAT("https://tablet.otzar.org/",CHAR(35),"/book/156207/p/-1/t/1/fs/0/start/0/end/0/c")</f>
        <v>https://tablet.otzar.org/#/book/156207/p/-1/t/1/fs/0/start/0/end/0/c</v>
      </c>
    </row>
    <row r="67" spans="1:8" x14ac:dyDescent="0.25">
      <c r="A67">
        <v>609946</v>
      </c>
      <c r="B67" t="s">
        <v>190</v>
      </c>
      <c r="C67" t="s">
        <v>191</v>
      </c>
      <c r="D67" t="s">
        <v>10</v>
      </c>
      <c r="E67" t="s">
        <v>100</v>
      </c>
      <c r="F67" t="s">
        <v>19</v>
      </c>
      <c r="G67" t="str">
        <f>HYPERLINK(_xlfn.CONCAT("https://tablet.otzar.org/",CHAR(35),"/exKotar/609946"),"בחגוי הסלע - 3 כרכים")</f>
        <v>בחגוי הסלע - 3 כרכים</v>
      </c>
      <c r="H67" t="str">
        <f>_xlfn.CONCAT("https://tablet.otzar.org/",CHAR(35),"/exKotar/609946")</f>
        <v>https://tablet.otzar.org/#/exKotar/609946</v>
      </c>
    </row>
    <row r="68" spans="1:8" x14ac:dyDescent="0.25">
      <c r="A68">
        <v>154978</v>
      </c>
      <c r="B68" t="s">
        <v>192</v>
      </c>
      <c r="C68" t="s">
        <v>21</v>
      </c>
      <c r="D68" t="s">
        <v>10</v>
      </c>
      <c r="E68" t="s">
        <v>193</v>
      </c>
      <c r="F68" t="s">
        <v>194</v>
      </c>
      <c r="G68" t="str">
        <f>HYPERLINK(_xlfn.CONCAT("https://tablet.otzar.org/",CHAR(35),"/book/154978/p/-1/t/1/fs/0/start/0/end/0/c"),"ביאור הגר""""א &lt;באר אליהו&gt; - הלכות דיינים")</f>
        <v>ביאור הגר""א &lt;באר אליהו&gt; - הלכות דיינים</v>
      </c>
      <c r="H68" t="str">
        <f>_xlfn.CONCAT("https://tablet.otzar.org/",CHAR(35),"/book/154978/p/-1/t/1/fs/0/start/0/end/0/c")</f>
        <v>https://tablet.otzar.org/#/book/154978/p/-1/t/1/fs/0/start/0/end/0/c</v>
      </c>
    </row>
    <row r="69" spans="1:8" x14ac:dyDescent="0.25">
      <c r="A69">
        <v>157057</v>
      </c>
      <c r="B69" t="s">
        <v>195</v>
      </c>
      <c r="C69" t="s">
        <v>196</v>
      </c>
      <c r="D69" t="s">
        <v>10</v>
      </c>
      <c r="E69" t="s">
        <v>109</v>
      </c>
      <c r="F69" t="s">
        <v>194</v>
      </c>
      <c r="G69" t="str">
        <f>HYPERLINK(_xlfn.CONCAT("https://tablet.otzar.org/",CHAR(35),"/exKotar/157057"),"ביאור הגר""""א &lt;ברכת אליהו&gt;  - 3 כרכים")</f>
        <v>ביאור הגר""א &lt;ברכת אליהו&gt;  - 3 כרכים</v>
      </c>
      <c r="H69" t="str">
        <f>_xlfn.CONCAT("https://tablet.otzar.org/",CHAR(35),"/exKotar/157057")</f>
        <v>https://tablet.otzar.org/#/exKotar/157057</v>
      </c>
    </row>
    <row r="70" spans="1:8" x14ac:dyDescent="0.25">
      <c r="A70">
        <v>174431</v>
      </c>
      <c r="B70" t="s">
        <v>197</v>
      </c>
      <c r="C70" t="s">
        <v>61</v>
      </c>
      <c r="D70" t="s">
        <v>10</v>
      </c>
      <c r="E70" t="s">
        <v>72</v>
      </c>
      <c r="F70" t="s">
        <v>19</v>
      </c>
      <c r="G70" t="str">
        <f>HYPERLINK(_xlfn.CONCAT("https://tablet.otzar.org/",CHAR(35),"/exKotar/174431"),"ביאור הגר""""א לנ""""ך - 6 כרכים")</f>
        <v>ביאור הגר""א לנ""ך - 6 כרכים</v>
      </c>
      <c r="H70" t="str">
        <f>_xlfn.CONCAT("https://tablet.otzar.org/",CHAR(35),"/exKotar/174431")</f>
        <v>https://tablet.otzar.org/#/exKotar/174431</v>
      </c>
    </row>
    <row r="71" spans="1:8" x14ac:dyDescent="0.25">
      <c r="A71">
        <v>155125</v>
      </c>
      <c r="B71" t="s">
        <v>198</v>
      </c>
      <c r="C71" t="s">
        <v>199</v>
      </c>
      <c r="D71" t="s">
        <v>10</v>
      </c>
      <c r="E71" t="s">
        <v>132</v>
      </c>
      <c r="F71" t="s">
        <v>19</v>
      </c>
      <c r="G71" t="str">
        <f>HYPERLINK(_xlfn.CONCAT("https://tablet.otzar.org/",CHAR(35),"/book/155125/p/-1/t/1/fs/0/start/0/end/0/c"),"ביאור ספורנו על התורה")</f>
        <v>ביאור ספורנו על התורה</v>
      </c>
      <c r="H71" t="str">
        <f>_xlfn.CONCAT("https://tablet.otzar.org/",CHAR(35),"/book/155125/p/-1/t/1/fs/0/start/0/end/0/c")</f>
        <v>https://tablet.otzar.org/#/book/155125/p/-1/t/1/fs/0/start/0/end/0/c</v>
      </c>
    </row>
    <row r="72" spans="1:8" x14ac:dyDescent="0.25">
      <c r="A72">
        <v>155257</v>
      </c>
      <c r="B72" t="s">
        <v>200</v>
      </c>
      <c r="C72" t="s">
        <v>201</v>
      </c>
      <c r="D72" t="s">
        <v>10</v>
      </c>
      <c r="E72" t="s">
        <v>202</v>
      </c>
      <c r="F72" t="s">
        <v>19</v>
      </c>
      <c r="G72" t="str">
        <f>HYPERLINK(_xlfn.CONCAT("https://tablet.otzar.org/",CHAR(35),"/exKotar/155257"),"ביאורי החסידות לנ""""ך - 2 כרכים")</f>
        <v>ביאורי החסידות לנ""ך - 2 כרכים</v>
      </c>
      <c r="H72" t="str">
        <f>_xlfn.CONCAT("https://tablet.otzar.org/",CHAR(35),"/exKotar/155257")</f>
        <v>https://tablet.otzar.org/#/exKotar/155257</v>
      </c>
    </row>
    <row r="73" spans="1:8" x14ac:dyDescent="0.25">
      <c r="A73">
        <v>155071</v>
      </c>
      <c r="B73" t="s">
        <v>203</v>
      </c>
      <c r="C73" t="s">
        <v>201</v>
      </c>
      <c r="D73" t="s">
        <v>10</v>
      </c>
      <c r="E73" t="s">
        <v>204</v>
      </c>
      <c r="F73" t="s">
        <v>205</v>
      </c>
      <c r="G73" t="str">
        <f>HYPERLINK(_xlfn.CONCAT("https://tablet.otzar.org/",CHAR(35),"/book/155071/p/-1/t/1/fs/0/start/0/end/0/c"),"ביאורי החסידות לש""""ס")</f>
        <v>ביאורי החסידות לש""ס</v>
      </c>
      <c r="H73" t="str">
        <f>_xlfn.CONCAT("https://tablet.otzar.org/",CHAR(35),"/book/155071/p/-1/t/1/fs/0/start/0/end/0/c")</f>
        <v>https://tablet.otzar.org/#/book/155071/p/-1/t/1/fs/0/start/0/end/0/c</v>
      </c>
    </row>
    <row r="74" spans="1:8" x14ac:dyDescent="0.25">
      <c r="A74">
        <v>155522</v>
      </c>
      <c r="B74" t="s">
        <v>206</v>
      </c>
      <c r="C74" t="s">
        <v>207</v>
      </c>
      <c r="D74" t="s">
        <v>10</v>
      </c>
      <c r="E74" t="s">
        <v>208</v>
      </c>
      <c r="F74" t="s">
        <v>12</v>
      </c>
      <c r="G74" t="str">
        <f>HYPERLINK(_xlfn.CONCAT("https://tablet.otzar.org/",CHAR(35),"/book/155522/p/-1/t/1/fs/0/start/0/end/0/c"),"בימי מצור ומצוק")</f>
        <v>בימי מצור ומצוק</v>
      </c>
      <c r="H74" t="str">
        <f>_xlfn.CONCAT("https://tablet.otzar.org/",CHAR(35),"/book/155522/p/-1/t/1/fs/0/start/0/end/0/c")</f>
        <v>https://tablet.otzar.org/#/book/155522/p/-1/t/1/fs/0/start/0/end/0/c</v>
      </c>
    </row>
    <row r="75" spans="1:8" x14ac:dyDescent="0.25">
      <c r="A75">
        <v>103168</v>
      </c>
      <c r="B75" t="s">
        <v>209</v>
      </c>
      <c r="C75" t="s">
        <v>210</v>
      </c>
      <c r="D75" t="s">
        <v>10</v>
      </c>
      <c r="E75" t="s">
        <v>204</v>
      </c>
      <c r="F75" t="s">
        <v>23</v>
      </c>
      <c r="G75" t="str">
        <f>HYPERLINK(_xlfn.CONCAT("https://tablet.otzar.org/",CHAR(35),"/book/103168/p/-1/t/1/fs/0/start/0/end/0/c"),"בין אדם לחברו")</f>
        <v>בין אדם לחברו</v>
      </c>
      <c r="H75" t="str">
        <f>_xlfn.CONCAT("https://tablet.otzar.org/",CHAR(35),"/book/103168/p/-1/t/1/fs/0/start/0/end/0/c")</f>
        <v>https://tablet.otzar.org/#/book/103168/p/-1/t/1/fs/0/start/0/end/0/c</v>
      </c>
    </row>
    <row r="76" spans="1:8" x14ac:dyDescent="0.25">
      <c r="A76">
        <v>158970</v>
      </c>
      <c r="B76" t="s">
        <v>211</v>
      </c>
      <c r="C76" t="s">
        <v>212</v>
      </c>
      <c r="D76" t="s">
        <v>10</v>
      </c>
      <c r="E76" t="s">
        <v>104</v>
      </c>
      <c r="F76" t="s">
        <v>158</v>
      </c>
      <c r="G76" t="str">
        <f>HYPERLINK(_xlfn.CONCAT("https://tablet.otzar.org/",CHAR(35),"/book/158970/p/-1/t/1/fs/0/start/0/end/0/c"),"בין יהודי ארצות הברית")</f>
        <v>בין יהודי ארצות הברית</v>
      </c>
      <c r="H76" t="str">
        <f>_xlfn.CONCAT("https://tablet.otzar.org/",CHAR(35),"/book/158970/p/-1/t/1/fs/0/start/0/end/0/c")</f>
        <v>https://tablet.otzar.org/#/book/158970/p/-1/t/1/fs/0/start/0/end/0/c</v>
      </c>
    </row>
    <row r="77" spans="1:8" x14ac:dyDescent="0.25">
      <c r="A77">
        <v>677795</v>
      </c>
      <c r="B77" t="s">
        <v>213</v>
      </c>
      <c r="C77" t="s">
        <v>214</v>
      </c>
      <c r="D77" t="s">
        <v>10</v>
      </c>
      <c r="E77" t="s">
        <v>215</v>
      </c>
      <c r="F77" t="s">
        <v>85</v>
      </c>
      <c r="G77" t="str">
        <f>HYPERLINK(_xlfn.CONCAT("https://tablet.otzar.org/",CHAR(35),"/book/677795/p/-1/t/1/fs/0/start/0/end/0/c"),"בינת ברכה - הלכות ברכות")</f>
        <v>בינת ברכה - הלכות ברכות</v>
      </c>
      <c r="H77" t="str">
        <f>_xlfn.CONCAT("https://tablet.otzar.org/",CHAR(35),"/book/677795/p/-1/t/1/fs/0/start/0/end/0/c")</f>
        <v>https://tablet.otzar.org/#/book/677795/p/-1/t/1/fs/0/start/0/end/0/c</v>
      </c>
    </row>
    <row r="78" spans="1:8" x14ac:dyDescent="0.25">
      <c r="A78">
        <v>158431</v>
      </c>
      <c r="B78" t="s">
        <v>216</v>
      </c>
      <c r="C78" t="s">
        <v>217</v>
      </c>
      <c r="D78" t="s">
        <v>10</v>
      </c>
      <c r="E78" t="s">
        <v>126</v>
      </c>
      <c r="F78" t="s">
        <v>218</v>
      </c>
      <c r="G78" t="str">
        <f>HYPERLINK(_xlfn.CONCAT("https://tablet.otzar.org/",CHAR(35),"/book/158431/p/-1/t/1/fs/0/start/0/end/0/c"),"בירור מושגים")</f>
        <v>בירור מושגים</v>
      </c>
      <c r="H78" t="str">
        <f>_xlfn.CONCAT("https://tablet.otzar.org/",CHAR(35),"/book/158431/p/-1/t/1/fs/0/start/0/end/0/c")</f>
        <v>https://tablet.otzar.org/#/book/158431/p/-1/t/1/fs/0/start/0/end/0/c</v>
      </c>
    </row>
    <row r="79" spans="1:8" x14ac:dyDescent="0.25">
      <c r="A79">
        <v>157053</v>
      </c>
      <c r="B79" t="s">
        <v>219</v>
      </c>
      <c r="C79" t="s">
        <v>220</v>
      </c>
      <c r="D79" t="s">
        <v>10</v>
      </c>
      <c r="E79" t="s">
        <v>32</v>
      </c>
      <c r="F79" t="s">
        <v>59</v>
      </c>
      <c r="G79" t="str">
        <f>HYPERLINK(_xlfn.CONCAT("https://tablet.otzar.org/",CHAR(35),"/exKotar/157053"),"בית אפרים - 2 כרכים")</f>
        <v>בית אפרים - 2 כרכים</v>
      </c>
      <c r="H79" t="str">
        <f>_xlfn.CONCAT("https://tablet.otzar.org/",CHAR(35),"/exKotar/157053")</f>
        <v>https://tablet.otzar.org/#/exKotar/157053</v>
      </c>
    </row>
    <row r="80" spans="1:8" x14ac:dyDescent="0.25">
      <c r="A80">
        <v>159109</v>
      </c>
      <c r="B80" t="s">
        <v>221</v>
      </c>
      <c r="C80" t="s">
        <v>222</v>
      </c>
      <c r="D80" t="s">
        <v>10</v>
      </c>
      <c r="E80" t="s">
        <v>78</v>
      </c>
      <c r="F80" t="s">
        <v>218</v>
      </c>
      <c r="G80" t="str">
        <f>HYPERLINK(_xlfn.CONCAT("https://tablet.otzar.org/",CHAR(35),"/book/159109/p/-1/t/1/fs/0/start/0/end/0/c"),"בית הבחירה - ב""""ק")</f>
        <v>בית הבחירה - ב""ק</v>
      </c>
      <c r="H80" t="str">
        <f>_xlfn.CONCAT("https://tablet.otzar.org/",CHAR(35),"/book/159109/p/-1/t/1/fs/0/start/0/end/0/c")</f>
        <v>https://tablet.otzar.org/#/book/159109/p/-1/t/1/fs/0/start/0/end/0/c</v>
      </c>
    </row>
    <row r="81" spans="1:8" x14ac:dyDescent="0.25">
      <c r="A81">
        <v>156217</v>
      </c>
      <c r="B81" t="s">
        <v>223</v>
      </c>
      <c r="C81" t="s">
        <v>224</v>
      </c>
      <c r="D81" t="s">
        <v>10</v>
      </c>
      <c r="E81" t="s">
        <v>109</v>
      </c>
      <c r="F81" t="s">
        <v>97</v>
      </c>
      <c r="G81" t="str">
        <f>HYPERLINK(_xlfn.CONCAT("https://tablet.otzar.org/",CHAR(35),"/exKotar/156217"),"בית התלמוד - 8 כרכים")</f>
        <v>בית התלמוד - 8 כרכים</v>
      </c>
      <c r="H81" t="str">
        <f>_xlfn.CONCAT("https://tablet.otzar.org/",CHAR(35),"/exKotar/156217")</f>
        <v>https://tablet.otzar.org/#/exKotar/156217</v>
      </c>
    </row>
    <row r="82" spans="1:8" x14ac:dyDescent="0.25">
      <c r="A82">
        <v>155279</v>
      </c>
      <c r="B82" t="s">
        <v>225</v>
      </c>
      <c r="C82" t="s">
        <v>226</v>
      </c>
      <c r="D82" t="s">
        <v>10</v>
      </c>
      <c r="E82" t="s">
        <v>227</v>
      </c>
      <c r="F82" t="s">
        <v>59</v>
      </c>
      <c r="G82" t="str">
        <f>HYPERLINK(_xlfn.CONCAT("https://tablet.otzar.org/",CHAR(35),"/book/155279/p/-1/t/1/fs/0/start/0/end/0/c"),"בית מרדכי - שו""""ת ומחקרים בהלכה")</f>
        <v>בית מרדכי - שו""ת ומחקרים בהלכה</v>
      </c>
      <c r="H82" t="str">
        <f>_xlfn.CONCAT("https://tablet.otzar.org/",CHAR(35),"/book/155279/p/-1/t/1/fs/0/start/0/end/0/c")</f>
        <v>https://tablet.otzar.org/#/book/155279/p/-1/t/1/fs/0/start/0/end/0/c</v>
      </c>
    </row>
    <row r="83" spans="1:8" x14ac:dyDescent="0.25">
      <c r="A83">
        <v>156194</v>
      </c>
      <c r="B83" t="s">
        <v>228</v>
      </c>
      <c r="C83" t="s">
        <v>229</v>
      </c>
      <c r="D83" t="s">
        <v>10</v>
      </c>
      <c r="E83" t="s">
        <v>104</v>
      </c>
      <c r="F83" t="s">
        <v>23</v>
      </c>
      <c r="G83" t="str">
        <f>HYPERLINK(_xlfn.CONCAT("https://tablet.otzar.org/",CHAR(35),"/book/156194/p/-1/t/1/fs/0/start/0/end/0/c"),"בלב רגש")</f>
        <v>בלב רגש</v>
      </c>
      <c r="H83" t="str">
        <f>_xlfn.CONCAT("https://tablet.otzar.org/",CHAR(35),"/book/156194/p/-1/t/1/fs/0/start/0/end/0/c")</f>
        <v>https://tablet.otzar.org/#/book/156194/p/-1/t/1/fs/0/start/0/end/0/c</v>
      </c>
    </row>
    <row r="84" spans="1:8" x14ac:dyDescent="0.25">
      <c r="A84">
        <v>156297</v>
      </c>
      <c r="B84" t="s">
        <v>230</v>
      </c>
      <c r="C84" t="s">
        <v>231</v>
      </c>
      <c r="D84" t="s">
        <v>10</v>
      </c>
      <c r="E84" t="s">
        <v>227</v>
      </c>
      <c r="F84" t="s">
        <v>232</v>
      </c>
      <c r="G84" t="str">
        <f>HYPERLINK(_xlfn.CONCAT("https://tablet.otzar.org/",CHAR(35),"/book/156297/p/-1/t/1/fs/0/start/0/end/0/c"),"במיצר")</f>
        <v>במיצר</v>
      </c>
      <c r="H84" t="str">
        <f>_xlfn.CONCAT("https://tablet.otzar.org/",CHAR(35),"/book/156297/p/-1/t/1/fs/0/start/0/end/0/c")</f>
        <v>https://tablet.otzar.org/#/book/156297/p/-1/t/1/fs/0/start/0/end/0/c</v>
      </c>
    </row>
    <row r="85" spans="1:8" x14ac:dyDescent="0.25">
      <c r="A85">
        <v>156208</v>
      </c>
      <c r="B85" t="s">
        <v>233</v>
      </c>
      <c r="C85" t="s">
        <v>234</v>
      </c>
      <c r="D85" t="s">
        <v>10</v>
      </c>
      <c r="E85" t="s">
        <v>120</v>
      </c>
      <c r="F85" t="s">
        <v>235</v>
      </c>
      <c r="G85" t="str">
        <f>HYPERLINK(_xlfn.CONCAT("https://tablet.otzar.org/",CHAR(35),"/book/156208/p/-1/t/1/fs/0/start/0/end/0/c"),"במעגלי הנגלה והנסתר")</f>
        <v>במעגלי הנגלה והנסתר</v>
      </c>
      <c r="H85" t="str">
        <f>_xlfn.CONCAT("https://tablet.otzar.org/",CHAR(35),"/book/156208/p/-1/t/1/fs/0/start/0/end/0/c")</f>
        <v>https://tablet.otzar.org/#/book/156208/p/-1/t/1/fs/0/start/0/end/0/c</v>
      </c>
    </row>
    <row r="86" spans="1:8" x14ac:dyDescent="0.25">
      <c r="A86">
        <v>157069</v>
      </c>
      <c r="B86" t="s">
        <v>236</v>
      </c>
      <c r="C86" t="s">
        <v>237</v>
      </c>
      <c r="D86" t="s">
        <v>10</v>
      </c>
      <c r="E86" t="s">
        <v>15</v>
      </c>
      <c r="G86" t="str">
        <f>HYPERLINK(_xlfn.CONCAT("https://tablet.otzar.org/",CHAR(35),"/book/157069/p/-1/t/1/fs/0/start/0/end/0/c"),"במעגלי שעבוד וגאולה")</f>
        <v>במעגלי שעבוד וגאולה</v>
      </c>
      <c r="H86" t="str">
        <f>_xlfn.CONCAT("https://tablet.otzar.org/",CHAR(35),"/book/157069/p/-1/t/1/fs/0/start/0/end/0/c")</f>
        <v>https://tablet.otzar.org/#/book/157069/p/-1/t/1/fs/0/start/0/end/0/c</v>
      </c>
    </row>
    <row r="87" spans="1:8" x14ac:dyDescent="0.25">
      <c r="A87">
        <v>157330</v>
      </c>
      <c r="B87" t="s">
        <v>238</v>
      </c>
      <c r="C87" t="s">
        <v>239</v>
      </c>
      <c r="D87" t="s">
        <v>10</v>
      </c>
      <c r="E87" t="s">
        <v>240</v>
      </c>
      <c r="F87" t="s">
        <v>241</v>
      </c>
      <c r="G87" t="str">
        <f>HYPERLINK(_xlfn.CONCAT("https://tablet.otzar.org/",CHAR(35),"/book/157330/p/-1/t/1/fs/0/start/0/end/0/c"),"במעיני חסידות איזביצא - ראדזין")</f>
        <v>במעיני חסידות איזביצא - ראדזין</v>
      </c>
      <c r="H87" t="str">
        <f>_xlfn.CONCAT("https://tablet.otzar.org/",CHAR(35),"/book/157330/p/-1/t/1/fs/0/start/0/end/0/c")</f>
        <v>https://tablet.otzar.org/#/book/157330/p/-1/t/1/fs/0/start/0/end/0/c</v>
      </c>
    </row>
    <row r="88" spans="1:8" x14ac:dyDescent="0.25">
      <c r="A88">
        <v>158973</v>
      </c>
      <c r="B88" t="s">
        <v>242</v>
      </c>
      <c r="C88" t="s">
        <v>243</v>
      </c>
      <c r="D88" t="s">
        <v>10</v>
      </c>
      <c r="E88" t="s">
        <v>244</v>
      </c>
      <c r="F88" t="s">
        <v>12</v>
      </c>
      <c r="G88" t="str">
        <f>HYPERLINK(_xlfn.CONCAT("https://tablet.otzar.org/",CHAR(35),"/book/158973/p/-1/t/1/fs/0/start/0/end/0/c"),"במצודה הפרוסה")</f>
        <v>במצודה הפרוסה</v>
      </c>
      <c r="H88" t="str">
        <f>_xlfn.CONCAT("https://tablet.otzar.org/",CHAR(35),"/book/158973/p/-1/t/1/fs/0/start/0/end/0/c")</f>
        <v>https://tablet.otzar.org/#/book/158973/p/-1/t/1/fs/0/start/0/end/0/c</v>
      </c>
    </row>
    <row r="89" spans="1:8" x14ac:dyDescent="0.25">
      <c r="A89">
        <v>156230</v>
      </c>
      <c r="B89" t="s">
        <v>245</v>
      </c>
      <c r="C89" t="s">
        <v>246</v>
      </c>
      <c r="D89" t="s">
        <v>10</v>
      </c>
      <c r="E89" t="s">
        <v>15</v>
      </c>
      <c r="F89" t="s">
        <v>12</v>
      </c>
      <c r="G89" t="str">
        <f>HYPERLINK(_xlfn.CONCAT("https://tablet.otzar.org/",CHAR(35),"/book/156230/p/-1/t/1/fs/0/start/0/end/0/c"),"במרכזים ובתפוצות בתקופת הגאונים")</f>
        <v>במרכזים ובתפוצות בתקופת הגאונים</v>
      </c>
      <c r="H89" t="str">
        <f>_xlfn.CONCAT("https://tablet.otzar.org/",CHAR(35),"/book/156230/p/-1/t/1/fs/0/start/0/end/0/c")</f>
        <v>https://tablet.otzar.org/#/book/156230/p/-1/t/1/fs/0/start/0/end/0/c</v>
      </c>
    </row>
    <row r="90" spans="1:8" x14ac:dyDescent="0.25">
      <c r="A90">
        <v>155545</v>
      </c>
      <c r="B90" t="s">
        <v>247</v>
      </c>
      <c r="C90" t="s">
        <v>248</v>
      </c>
      <c r="D90" t="s">
        <v>10</v>
      </c>
      <c r="E90" t="s">
        <v>87</v>
      </c>
      <c r="F90" t="s">
        <v>59</v>
      </c>
      <c r="G90" t="str">
        <f>HYPERLINK(_xlfn.CONCAT("https://tablet.otzar.org/",CHAR(35),"/book/155545/p/-1/t/1/fs/0/start/0/end/0/c"),"בנין עולם - שו""""ת")</f>
        <v>בנין עולם - שו""ת</v>
      </c>
      <c r="H90" t="str">
        <f>_xlfn.CONCAT("https://tablet.otzar.org/",CHAR(35),"/book/155545/p/-1/t/1/fs/0/start/0/end/0/c")</f>
        <v>https://tablet.otzar.org/#/book/155545/p/-1/t/1/fs/0/start/0/end/0/c</v>
      </c>
    </row>
    <row r="91" spans="1:8" x14ac:dyDescent="0.25">
      <c r="A91">
        <v>157030</v>
      </c>
      <c r="B91" t="s">
        <v>249</v>
      </c>
      <c r="C91" t="s">
        <v>239</v>
      </c>
      <c r="D91" t="s">
        <v>10</v>
      </c>
      <c r="E91" t="s">
        <v>120</v>
      </c>
      <c r="G91" t="str">
        <f>HYPERLINK(_xlfn.CONCAT("https://tablet.otzar.org/",CHAR(35),"/book/157030/p/-1/t/1/fs/0/start/0/end/0/c"),"בסוגיות הדור")</f>
        <v>בסוגיות הדור</v>
      </c>
      <c r="H91" t="str">
        <f>_xlfn.CONCAT("https://tablet.otzar.org/",CHAR(35),"/book/157030/p/-1/t/1/fs/0/start/0/end/0/c")</f>
        <v>https://tablet.otzar.org/#/book/157030/p/-1/t/1/fs/0/start/0/end/0/c</v>
      </c>
    </row>
    <row r="92" spans="1:8" x14ac:dyDescent="0.25">
      <c r="A92">
        <v>157361</v>
      </c>
      <c r="B92" t="s">
        <v>250</v>
      </c>
      <c r="C92" t="s">
        <v>250</v>
      </c>
      <c r="D92" t="s">
        <v>10</v>
      </c>
      <c r="E92" t="s">
        <v>208</v>
      </c>
      <c r="F92" t="s">
        <v>251</v>
      </c>
      <c r="G92" t="str">
        <f>HYPERLINK(_xlfn.CONCAT("https://tablet.otzar.org/",CHAR(35),"/book/157361/p/-1/t/1/fs/0/start/0/end/0/c"),"בעיות אקטואליות לאור ההלכה")</f>
        <v>בעיות אקטואליות לאור ההלכה</v>
      </c>
      <c r="H92" t="str">
        <f>_xlfn.CONCAT("https://tablet.otzar.org/",CHAR(35),"/book/157361/p/-1/t/1/fs/0/start/0/end/0/c")</f>
        <v>https://tablet.otzar.org/#/book/157361/p/-1/t/1/fs/0/start/0/end/0/c</v>
      </c>
    </row>
    <row r="93" spans="1:8" x14ac:dyDescent="0.25">
      <c r="A93">
        <v>155306</v>
      </c>
      <c r="B93" t="s">
        <v>252</v>
      </c>
      <c r="C93" t="s">
        <v>253</v>
      </c>
      <c r="D93" t="s">
        <v>10</v>
      </c>
      <c r="E93" t="s">
        <v>84</v>
      </c>
      <c r="F93" t="s">
        <v>218</v>
      </c>
      <c r="G93" t="str">
        <f>HYPERLINK(_xlfn.CONCAT("https://tablet.otzar.org/",CHAR(35),"/book/155306/p/-1/t/1/fs/0/start/0/end/0/c"),"בעל המאור עם השגות הראב""""ד 'כתוב שם' - ר""""ה, סוכה")</f>
        <v>בעל המאור עם השגות הראב""ד 'כתוב שם' - ר""ה, סוכה</v>
      </c>
      <c r="H93" t="str">
        <f>_xlfn.CONCAT("https://tablet.otzar.org/",CHAR(35),"/book/155306/p/-1/t/1/fs/0/start/0/end/0/c")</f>
        <v>https://tablet.otzar.org/#/book/155306/p/-1/t/1/fs/0/start/0/end/0/c</v>
      </c>
    </row>
    <row r="94" spans="1:8" x14ac:dyDescent="0.25">
      <c r="A94">
        <v>155375</v>
      </c>
      <c r="B94" t="s">
        <v>254</v>
      </c>
      <c r="C94" t="s">
        <v>255</v>
      </c>
      <c r="D94" t="s">
        <v>10</v>
      </c>
      <c r="E94" t="s">
        <v>132</v>
      </c>
      <c r="F94" t="s">
        <v>85</v>
      </c>
      <c r="G94" t="str">
        <f>HYPERLINK(_xlfn.CONCAT("https://tablet.otzar.org/",CHAR(35),"/book/155375/p/-1/t/1/fs/0/start/0/end/0/c"),"בעלי הנפש לראב""""ד בצירוף סלע המחלקות לרז""""ה")</f>
        <v>בעלי הנפש לראב""ד בצירוף סלע המחלקות לרז""ה</v>
      </c>
      <c r="H94" t="str">
        <f>_xlfn.CONCAT("https://tablet.otzar.org/",CHAR(35),"/book/155375/p/-1/t/1/fs/0/start/0/end/0/c")</f>
        <v>https://tablet.otzar.org/#/book/155375/p/-1/t/1/fs/0/start/0/end/0/c</v>
      </c>
    </row>
    <row r="95" spans="1:8" x14ac:dyDescent="0.25">
      <c r="A95">
        <v>14516</v>
      </c>
      <c r="B95" t="s">
        <v>256</v>
      </c>
      <c r="C95" t="s">
        <v>257</v>
      </c>
      <c r="D95" t="s">
        <v>10</v>
      </c>
      <c r="E95" t="s">
        <v>204</v>
      </c>
      <c r="F95" t="s">
        <v>19</v>
      </c>
      <c r="G95" t="str">
        <f>HYPERLINK(_xlfn.CONCAT("https://tablet.otzar.org/",CHAR(35),"/book/14516/p/-1/t/1/fs/0/start/0/end/0/c"),"בעלי תוספות על התורה")</f>
        <v>בעלי תוספות על התורה</v>
      </c>
      <c r="H95" t="str">
        <f>_xlfn.CONCAT("https://tablet.otzar.org/",CHAR(35),"/book/14516/p/-1/t/1/fs/0/start/0/end/0/c")</f>
        <v>https://tablet.otzar.org/#/book/14516/p/-1/t/1/fs/0/start/0/end/0/c</v>
      </c>
    </row>
    <row r="96" spans="1:8" x14ac:dyDescent="0.25">
      <c r="A96">
        <v>155288</v>
      </c>
      <c r="B96" t="s">
        <v>258</v>
      </c>
      <c r="C96" t="s">
        <v>259</v>
      </c>
      <c r="D96" t="s">
        <v>10</v>
      </c>
      <c r="E96" t="s">
        <v>87</v>
      </c>
      <c r="F96" t="s">
        <v>55</v>
      </c>
      <c r="G96" t="str">
        <f>HYPERLINK(_xlfn.CONCAT("https://tablet.otzar.org/",CHAR(35),"/book/155288/p/-1/t/1/fs/0/start/0/end/0/c"),"בעקבות היראה")</f>
        <v>בעקבות היראה</v>
      </c>
      <c r="H96" t="str">
        <f>_xlfn.CONCAT("https://tablet.otzar.org/",CHAR(35),"/book/155288/p/-1/t/1/fs/0/start/0/end/0/c")</f>
        <v>https://tablet.otzar.org/#/book/155288/p/-1/t/1/fs/0/start/0/end/0/c</v>
      </c>
    </row>
    <row r="97" spans="1:8" x14ac:dyDescent="0.25">
      <c r="A97">
        <v>638031</v>
      </c>
      <c r="B97" t="s">
        <v>260</v>
      </c>
      <c r="C97" t="s">
        <v>261</v>
      </c>
      <c r="D97" t="s">
        <v>10</v>
      </c>
      <c r="E97" t="s">
        <v>116</v>
      </c>
      <c r="F97" t="s">
        <v>262</v>
      </c>
      <c r="G97" t="str">
        <f>HYPERLINK(_xlfn.CONCAT("https://tablet.otzar.org/",CHAR(35),"/book/638031/p/-1/t/1/fs/0/start/0/end/0/c"),"בעקבות המועדים והזמנים")</f>
        <v>בעקבות המועדים והזמנים</v>
      </c>
      <c r="H97" t="str">
        <f>_xlfn.CONCAT("https://tablet.otzar.org/",CHAR(35),"/book/638031/p/-1/t/1/fs/0/start/0/end/0/c")</f>
        <v>https://tablet.otzar.org/#/book/638031/p/-1/t/1/fs/0/start/0/end/0/c</v>
      </c>
    </row>
    <row r="98" spans="1:8" x14ac:dyDescent="0.25">
      <c r="A98">
        <v>23371</v>
      </c>
      <c r="B98" t="s">
        <v>263</v>
      </c>
      <c r="C98" t="s">
        <v>264</v>
      </c>
      <c r="D98" t="s">
        <v>10</v>
      </c>
      <c r="E98" t="s">
        <v>265</v>
      </c>
      <c r="F98" t="s">
        <v>158</v>
      </c>
      <c r="G98" t="str">
        <f>HYPERLINK(_xlfn.CONCAT("https://tablet.otzar.org/",CHAR(35),"/book/23371/p/-1/t/1/fs/0/start/0/end/0/c"),"ברזילי")</f>
        <v>ברזילי</v>
      </c>
      <c r="H98" t="str">
        <f>_xlfn.CONCAT("https://tablet.otzar.org/",CHAR(35),"/book/23371/p/-1/t/1/fs/0/start/0/end/0/c")</f>
        <v>https://tablet.otzar.org/#/book/23371/p/-1/t/1/fs/0/start/0/end/0/c</v>
      </c>
    </row>
    <row r="99" spans="1:8" x14ac:dyDescent="0.25">
      <c r="A99">
        <v>155356</v>
      </c>
      <c r="B99" t="s">
        <v>266</v>
      </c>
      <c r="C99" t="s">
        <v>267</v>
      </c>
      <c r="D99" t="s">
        <v>10</v>
      </c>
      <c r="E99" t="s">
        <v>92</v>
      </c>
      <c r="F99" t="s">
        <v>85</v>
      </c>
      <c r="G99" t="str">
        <f>HYPERLINK(_xlfn.CONCAT("https://tablet.otzar.org/",CHAR(35),"/book/155356/p/-1/t/1/fs/0/start/0/end/0/c"),"ברכות שנשתקעו")</f>
        <v>ברכות שנשתקעו</v>
      </c>
      <c r="H99" t="str">
        <f>_xlfn.CONCAT("https://tablet.otzar.org/",CHAR(35),"/book/155356/p/-1/t/1/fs/0/start/0/end/0/c")</f>
        <v>https://tablet.otzar.org/#/book/155356/p/-1/t/1/fs/0/start/0/end/0/c</v>
      </c>
    </row>
    <row r="100" spans="1:8" x14ac:dyDescent="0.25">
      <c r="A100">
        <v>158432</v>
      </c>
      <c r="B100" t="s">
        <v>268</v>
      </c>
      <c r="C100" t="s">
        <v>269</v>
      </c>
      <c r="D100" t="s">
        <v>10</v>
      </c>
      <c r="E100" t="s">
        <v>36</v>
      </c>
      <c r="F100" t="s">
        <v>85</v>
      </c>
      <c r="G100" t="str">
        <f>HYPERLINK(_xlfn.CONCAT("https://tablet.otzar.org/",CHAR(35),"/book/158432/p/-1/t/1/fs/0/start/0/end/0/c"),"ברכת כהן")</f>
        <v>ברכת כהן</v>
      </c>
      <c r="H100" t="str">
        <f>_xlfn.CONCAT("https://tablet.otzar.org/",CHAR(35),"/book/158432/p/-1/t/1/fs/0/start/0/end/0/c")</f>
        <v>https://tablet.otzar.org/#/book/158432/p/-1/t/1/fs/0/start/0/end/0/c</v>
      </c>
    </row>
    <row r="101" spans="1:8" x14ac:dyDescent="0.25">
      <c r="A101">
        <v>158443</v>
      </c>
      <c r="B101" t="s">
        <v>270</v>
      </c>
      <c r="C101" t="s">
        <v>271</v>
      </c>
      <c r="D101" t="s">
        <v>10</v>
      </c>
      <c r="E101" t="s">
        <v>54</v>
      </c>
      <c r="F101" t="s">
        <v>55</v>
      </c>
      <c r="G101" t="str">
        <f>HYPERLINK(_xlfn.CONCAT("https://tablet.otzar.org/",CHAR(35),"/book/158443/p/-1/t/1/fs/0/start/0/end/0/c"),"בשבילי המוסר")</f>
        <v>בשבילי המוסר</v>
      </c>
      <c r="H101" t="str">
        <f>_xlfn.CONCAT("https://tablet.otzar.org/",CHAR(35),"/book/158443/p/-1/t/1/fs/0/start/0/end/0/c")</f>
        <v>https://tablet.otzar.org/#/book/158443/p/-1/t/1/fs/0/start/0/end/0/c</v>
      </c>
    </row>
    <row r="102" spans="1:8" x14ac:dyDescent="0.25">
      <c r="A102">
        <v>102912</v>
      </c>
      <c r="B102" t="s">
        <v>272</v>
      </c>
      <c r="C102" t="s">
        <v>273</v>
      </c>
      <c r="D102" t="s">
        <v>10</v>
      </c>
      <c r="E102" t="s">
        <v>54</v>
      </c>
      <c r="F102" t="s">
        <v>55</v>
      </c>
      <c r="G102" t="str">
        <f>HYPERLINK(_xlfn.CONCAT("https://tablet.otzar.org/",CHAR(35),"/book/102912/p/-1/t/1/fs/0/start/0/end/0/c"),"בשבילי מוסר")</f>
        <v>בשבילי מוסר</v>
      </c>
      <c r="H102" t="str">
        <f>_xlfn.CONCAT("https://tablet.otzar.org/",CHAR(35),"/book/102912/p/-1/t/1/fs/0/start/0/end/0/c")</f>
        <v>https://tablet.otzar.org/#/book/102912/p/-1/t/1/fs/0/start/0/end/0/c</v>
      </c>
    </row>
    <row r="103" spans="1:8" x14ac:dyDescent="0.25">
      <c r="A103">
        <v>145203</v>
      </c>
      <c r="B103" t="s">
        <v>274</v>
      </c>
      <c r="C103" t="s">
        <v>275</v>
      </c>
      <c r="D103" t="s">
        <v>10</v>
      </c>
      <c r="E103" t="s">
        <v>54</v>
      </c>
      <c r="F103" t="s">
        <v>12</v>
      </c>
      <c r="G103" t="str">
        <f>HYPERLINK(_xlfn.CONCAT("https://tablet.otzar.org/",CHAR(35),"/book/145203/p/-1/t/1/fs/0/start/0/end/0/c"),"בשערי ספר")</f>
        <v>בשערי ספר</v>
      </c>
      <c r="H103" t="str">
        <f>_xlfn.CONCAT("https://tablet.otzar.org/",CHAR(35),"/book/145203/p/-1/t/1/fs/0/start/0/end/0/c")</f>
        <v>https://tablet.otzar.org/#/book/145203/p/-1/t/1/fs/0/start/0/end/0/c</v>
      </c>
    </row>
    <row r="104" spans="1:8" x14ac:dyDescent="0.25">
      <c r="A104">
        <v>157384</v>
      </c>
      <c r="B104" t="s">
        <v>276</v>
      </c>
      <c r="C104" t="s">
        <v>277</v>
      </c>
      <c r="D104" t="s">
        <v>10</v>
      </c>
      <c r="E104" t="s">
        <v>278</v>
      </c>
      <c r="F104" t="s">
        <v>158</v>
      </c>
      <c r="G104" t="str">
        <f>HYPERLINK(_xlfn.CONCAT("https://tablet.otzar.org/",CHAR(35),"/book/157384/p/-1/t/1/fs/0/start/0/end/0/c"),"בתי הכנסיות בארץ - ישראל")</f>
        <v>בתי הכנסיות בארץ - ישראל</v>
      </c>
      <c r="H104" t="str">
        <f>_xlfn.CONCAT("https://tablet.otzar.org/",CHAR(35),"/book/157384/p/-1/t/1/fs/0/start/0/end/0/c")</f>
        <v>https://tablet.otzar.org/#/book/157384/p/-1/t/1/fs/0/start/0/end/0/c</v>
      </c>
    </row>
    <row r="105" spans="1:8" x14ac:dyDescent="0.25">
      <c r="A105">
        <v>158421</v>
      </c>
      <c r="B105" t="s">
        <v>279</v>
      </c>
      <c r="C105" t="s">
        <v>280</v>
      </c>
      <c r="D105" t="s">
        <v>10</v>
      </c>
      <c r="E105" t="s">
        <v>281</v>
      </c>
      <c r="F105" t="s">
        <v>12</v>
      </c>
      <c r="G105" t="str">
        <f>HYPERLINK(_xlfn.CONCAT("https://tablet.otzar.org/",CHAR(35),"/book/158421/p/-1/t/1/fs/0/start/0/end/0/c"),"בתי כנסת בפולין וחורבנם")</f>
        <v>בתי כנסת בפולין וחורבנם</v>
      </c>
      <c r="H105" t="str">
        <f>_xlfn.CONCAT("https://tablet.otzar.org/",CHAR(35),"/book/158421/p/-1/t/1/fs/0/start/0/end/0/c")</f>
        <v>https://tablet.otzar.org/#/book/158421/p/-1/t/1/fs/0/start/0/end/0/c</v>
      </c>
    </row>
    <row r="106" spans="1:8" x14ac:dyDescent="0.25">
      <c r="A106">
        <v>606691</v>
      </c>
      <c r="B106" t="s">
        <v>282</v>
      </c>
      <c r="C106" t="s">
        <v>283</v>
      </c>
      <c r="D106" t="s">
        <v>10</v>
      </c>
      <c r="E106" t="s">
        <v>100</v>
      </c>
      <c r="F106" t="s">
        <v>284</v>
      </c>
      <c r="G106" t="str">
        <f>HYPERLINK(_xlfn.CONCAT("https://tablet.otzar.org/",CHAR(35),"/book/606691/p/-1/t/1/fs/0/start/0/end/0/c"),"גאולת אברהם")</f>
        <v>גאולת אברהם</v>
      </c>
      <c r="H106" t="str">
        <f>_xlfn.CONCAT("https://tablet.otzar.org/",CHAR(35),"/book/606691/p/-1/t/1/fs/0/start/0/end/0/c")</f>
        <v>https://tablet.otzar.org/#/book/606691/p/-1/t/1/fs/0/start/0/end/0/c</v>
      </c>
    </row>
    <row r="107" spans="1:8" x14ac:dyDescent="0.25">
      <c r="A107">
        <v>156327</v>
      </c>
      <c r="B107" t="s">
        <v>285</v>
      </c>
      <c r="C107" t="s">
        <v>286</v>
      </c>
      <c r="D107" t="s">
        <v>10</v>
      </c>
      <c r="E107" t="s">
        <v>15</v>
      </c>
      <c r="F107" t="s">
        <v>23</v>
      </c>
      <c r="G107" t="str">
        <f>HYPERLINK(_xlfn.CONCAT("https://tablet.otzar.org/",CHAR(35),"/book/156327/p/-1/t/1/fs/0/start/0/end/0/c"),"גבולות הארץ")</f>
        <v>גבולות הארץ</v>
      </c>
      <c r="H107" t="str">
        <f>_xlfn.CONCAT("https://tablet.otzar.org/",CHAR(35),"/book/156327/p/-1/t/1/fs/0/start/0/end/0/c")</f>
        <v>https://tablet.otzar.org/#/book/156327/p/-1/t/1/fs/0/start/0/end/0/c</v>
      </c>
    </row>
    <row r="108" spans="1:8" x14ac:dyDescent="0.25">
      <c r="A108">
        <v>158441</v>
      </c>
      <c r="B108" t="s">
        <v>287</v>
      </c>
      <c r="C108" t="s">
        <v>288</v>
      </c>
      <c r="D108" t="s">
        <v>10</v>
      </c>
      <c r="E108" t="s">
        <v>289</v>
      </c>
      <c r="F108" t="s">
        <v>23</v>
      </c>
      <c r="G108" t="str">
        <f>HYPERLINK(_xlfn.CONCAT("https://tablet.otzar.org/",CHAR(35),"/book/158441/p/-1/t/1/fs/0/start/0/end/0/c"),"גלילות ארץ ישראל")</f>
        <v>גלילות ארץ ישראל</v>
      </c>
      <c r="H108" t="str">
        <f>_xlfn.CONCAT("https://tablet.otzar.org/",CHAR(35),"/book/158441/p/-1/t/1/fs/0/start/0/end/0/c")</f>
        <v>https://tablet.otzar.org/#/book/158441/p/-1/t/1/fs/0/start/0/end/0/c</v>
      </c>
    </row>
    <row r="109" spans="1:8" x14ac:dyDescent="0.25">
      <c r="A109">
        <v>156300</v>
      </c>
      <c r="B109" t="s">
        <v>290</v>
      </c>
      <c r="C109" t="s">
        <v>291</v>
      </c>
      <c r="D109" t="s">
        <v>10</v>
      </c>
      <c r="E109" t="s">
        <v>25</v>
      </c>
      <c r="F109" t="s">
        <v>19</v>
      </c>
      <c r="G109" t="str">
        <f>HYPERLINK(_xlfn.CONCAT("https://tablet.otzar.org/",CHAR(35),"/book/156300/p/-1/t/1/fs/0/start/0/end/0/c"),"גנוזות רש""""י")</f>
        <v>גנוזות רש""י</v>
      </c>
      <c r="H109" t="str">
        <f>_xlfn.CONCAT("https://tablet.otzar.org/",CHAR(35),"/book/156300/p/-1/t/1/fs/0/start/0/end/0/c")</f>
        <v>https://tablet.otzar.org/#/book/156300/p/-1/t/1/fs/0/start/0/end/0/c</v>
      </c>
    </row>
    <row r="110" spans="1:8" x14ac:dyDescent="0.25">
      <c r="A110">
        <v>157056</v>
      </c>
      <c r="B110" t="s">
        <v>292</v>
      </c>
      <c r="C110" t="s">
        <v>293</v>
      </c>
      <c r="D110" t="s">
        <v>10</v>
      </c>
      <c r="E110" t="s">
        <v>120</v>
      </c>
      <c r="F110" t="s">
        <v>97</v>
      </c>
      <c r="G110" t="str">
        <f>HYPERLINK(_xlfn.CONCAT("https://tablet.otzar.org/",CHAR(35),"/book/157056/p/-1/t/1/fs/0/start/0/end/0/c"),"גנזי משנה")</f>
        <v>גנזי משנה</v>
      </c>
      <c r="H110" t="str">
        <f>_xlfn.CONCAT("https://tablet.otzar.org/",CHAR(35),"/book/157056/p/-1/t/1/fs/0/start/0/end/0/c")</f>
        <v>https://tablet.otzar.org/#/book/157056/p/-1/t/1/fs/0/start/0/end/0/c</v>
      </c>
    </row>
    <row r="111" spans="1:8" x14ac:dyDescent="0.25">
      <c r="A111">
        <v>157373</v>
      </c>
      <c r="B111" t="s">
        <v>294</v>
      </c>
      <c r="C111" t="s">
        <v>295</v>
      </c>
      <c r="D111" t="s">
        <v>10</v>
      </c>
      <c r="E111" t="s">
        <v>193</v>
      </c>
      <c r="F111" t="s">
        <v>85</v>
      </c>
      <c r="G111" t="str">
        <f>HYPERLINK(_xlfn.CONCAT("https://tablet.otzar.org/",CHAR(35),"/book/157373/p/-1/t/1/fs/0/start/0/end/0/c"),"גניבה וגזילה - פרקי יסוד")</f>
        <v>גניבה וגזילה - פרקי יסוד</v>
      </c>
      <c r="H111" t="str">
        <f>_xlfn.CONCAT("https://tablet.otzar.org/",CHAR(35),"/book/157373/p/-1/t/1/fs/0/start/0/end/0/c")</f>
        <v>https://tablet.otzar.org/#/book/157373/p/-1/t/1/fs/0/start/0/end/0/c</v>
      </c>
    </row>
    <row r="112" spans="1:8" x14ac:dyDescent="0.25">
      <c r="A112">
        <v>12401</v>
      </c>
      <c r="B112" t="s">
        <v>296</v>
      </c>
      <c r="C112" t="s">
        <v>297</v>
      </c>
      <c r="D112" t="s">
        <v>10</v>
      </c>
      <c r="E112" t="s">
        <v>227</v>
      </c>
      <c r="F112" t="s">
        <v>298</v>
      </c>
      <c r="G112" t="str">
        <f>HYPERLINK(_xlfn.CONCAT("https://tablet.otzar.org/",CHAR(35),"/book/12401/p/-1/t/1/fs/0/start/0/end/0/c"),"גרים וגירות")</f>
        <v>גרים וגירות</v>
      </c>
      <c r="H112" t="str">
        <f>_xlfn.CONCAT("https://tablet.otzar.org/",CHAR(35),"/book/12401/p/-1/t/1/fs/0/start/0/end/0/c")</f>
        <v>https://tablet.otzar.org/#/book/12401/p/-1/t/1/fs/0/start/0/end/0/c</v>
      </c>
    </row>
    <row r="113" spans="1:8" x14ac:dyDescent="0.25">
      <c r="A113">
        <v>155165</v>
      </c>
      <c r="B113" t="s">
        <v>299</v>
      </c>
      <c r="C113" t="s">
        <v>300</v>
      </c>
      <c r="D113" t="s">
        <v>10</v>
      </c>
      <c r="E113" t="s">
        <v>132</v>
      </c>
      <c r="F113" t="s">
        <v>19</v>
      </c>
      <c r="G113" t="str">
        <f>HYPERLINK(_xlfn.CONCAT("https://tablet.otzar.org/",CHAR(35),"/book/155165/p/-1/t/1/fs/0/start/0/end/0/c"),"דברי דוד - טורי זהב")</f>
        <v>דברי דוד - טורי זהב</v>
      </c>
      <c r="H113" t="str">
        <f>_xlfn.CONCAT("https://tablet.otzar.org/",CHAR(35),"/book/155165/p/-1/t/1/fs/0/start/0/end/0/c")</f>
        <v>https://tablet.otzar.org/#/book/155165/p/-1/t/1/fs/0/start/0/end/0/c</v>
      </c>
    </row>
    <row r="114" spans="1:8" x14ac:dyDescent="0.25">
      <c r="A114">
        <v>15653</v>
      </c>
      <c r="B114" t="s">
        <v>301</v>
      </c>
      <c r="C114" t="s">
        <v>302</v>
      </c>
      <c r="D114" t="s">
        <v>10</v>
      </c>
      <c r="E114" t="s">
        <v>28</v>
      </c>
      <c r="F114" t="s">
        <v>12</v>
      </c>
      <c r="G114" t="str">
        <f>HYPERLINK(_xlfn.CONCAT("https://tablet.otzar.org/",CHAR(35),"/book/15653/p/-1/t/1/fs/0/start/0/end/0/c"),"דברי הימים לישראל ולאומות העולם")</f>
        <v>דברי הימים לישראל ולאומות העולם</v>
      </c>
      <c r="H114" t="str">
        <f>_xlfn.CONCAT("https://tablet.otzar.org/",CHAR(35),"/book/15653/p/-1/t/1/fs/0/start/0/end/0/c")</f>
        <v>https://tablet.otzar.org/#/book/15653/p/-1/t/1/fs/0/start/0/end/0/c</v>
      </c>
    </row>
    <row r="115" spans="1:8" x14ac:dyDescent="0.25">
      <c r="A115">
        <v>677814</v>
      </c>
      <c r="B115" t="s">
        <v>303</v>
      </c>
      <c r="C115" t="s">
        <v>304</v>
      </c>
      <c r="D115" t="s">
        <v>10</v>
      </c>
      <c r="E115" t="s">
        <v>215</v>
      </c>
      <c r="F115" t="s">
        <v>305</v>
      </c>
      <c r="G115" t="str">
        <f>HYPERLINK(_xlfn.CONCAT("https://tablet.otzar.org/",CHAR(35),"/exKotar/677814"),"דברי יהושע - 3 כרכים")</f>
        <v>דברי יהושע - 3 כרכים</v>
      </c>
      <c r="H115" t="str">
        <f>_xlfn.CONCAT("https://tablet.otzar.org/",CHAR(35),"/exKotar/677814")</f>
        <v>https://tablet.otzar.org/#/exKotar/677814</v>
      </c>
    </row>
    <row r="116" spans="1:8" x14ac:dyDescent="0.25">
      <c r="A116">
        <v>157367</v>
      </c>
      <c r="B116" t="s">
        <v>306</v>
      </c>
      <c r="C116" t="s">
        <v>307</v>
      </c>
      <c r="D116" t="s">
        <v>10</v>
      </c>
      <c r="E116" t="s">
        <v>308</v>
      </c>
      <c r="F116" t="s">
        <v>309</v>
      </c>
      <c r="G116" t="str">
        <f>HYPERLINK(_xlfn.CONCAT("https://tablet.otzar.org/",CHAR(35),"/exKotar/157367"),"דברי יוסף - 2 כרכים")</f>
        <v>דברי יוסף - 2 כרכים</v>
      </c>
      <c r="H116" t="str">
        <f>_xlfn.CONCAT("https://tablet.otzar.org/",CHAR(35),"/exKotar/157367")</f>
        <v>https://tablet.otzar.org/#/exKotar/157367</v>
      </c>
    </row>
    <row r="117" spans="1:8" x14ac:dyDescent="0.25">
      <c r="A117">
        <v>158398</v>
      </c>
      <c r="B117" t="s">
        <v>310</v>
      </c>
      <c r="C117" t="s">
        <v>311</v>
      </c>
      <c r="D117" t="s">
        <v>10</v>
      </c>
      <c r="E117" t="s">
        <v>32</v>
      </c>
      <c r="F117" t="s">
        <v>59</v>
      </c>
      <c r="G117" t="str">
        <f>HYPERLINK(_xlfn.CONCAT("https://tablet.otzar.org/",CHAR(35),"/exKotar/158398"),"דברי מלכיאל - 3 כרכים")</f>
        <v>דברי מלכיאל - 3 כרכים</v>
      </c>
      <c r="H117" t="str">
        <f>_xlfn.CONCAT("https://tablet.otzar.org/",CHAR(35),"/exKotar/158398")</f>
        <v>https://tablet.otzar.org/#/exKotar/158398</v>
      </c>
    </row>
    <row r="118" spans="1:8" x14ac:dyDescent="0.25">
      <c r="A118">
        <v>157060</v>
      </c>
      <c r="B118" t="s">
        <v>312</v>
      </c>
      <c r="C118" t="s">
        <v>313</v>
      </c>
      <c r="D118" t="s">
        <v>10</v>
      </c>
      <c r="E118" t="s">
        <v>314</v>
      </c>
      <c r="F118" t="s">
        <v>218</v>
      </c>
      <c r="G118" t="str">
        <f>HYPERLINK(_xlfn.CONCAT("https://tablet.otzar.org/",CHAR(35),"/book/157060/p/-1/t/1/fs/0/start/0/end/0/c"),"דגל ראובן - ג")</f>
        <v>דגל ראובן - ג</v>
      </c>
      <c r="H118" t="str">
        <f>_xlfn.CONCAT("https://tablet.otzar.org/",CHAR(35),"/book/157060/p/-1/t/1/fs/0/start/0/end/0/c")</f>
        <v>https://tablet.otzar.org/#/book/157060/p/-1/t/1/fs/0/start/0/end/0/c</v>
      </c>
    </row>
    <row r="119" spans="1:8" x14ac:dyDescent="0.25">
      <c r="A119">
        <v>169994</v>
      </c>
      <c r="B119" t="s">
        <v>315</v>
      </c>
      <c r="C119" t="s">
        <v>316</v>
      </c>
      <c r="D119" t="s">
        <v>10</v>
      </c>
      <c r="E119" t="s">
        <v>157</v>
      </c>
      <c r="F119" t="s">
        <v>19</v>
      </c>
      <c r="G119" t="str">
        <f>HYPERLINK(_xlfn.CONCAT("https://tablet.otzar.org/",CHAR(35),"/exKotar/169994"),"דודי נתן - 2 כרכים")</f>
        <v>דודי נתן - 2 כרכים</v>
      </c>
      <c r="H119" t="str">
        <f>_xlfn.CONCAT("https://tablet.otzar.org/",CHAR(35),"/exKotar/169994")</f>
        <v>https://tablet.otzar.org/#/exKotar/169994</v>
      </c>
    </row>
    <row r="120" spans="1:8" x14ac:dyDescent="0.25">
      <c r="A120">
        <v>638048</v>
      </c>
      <c r="B120" t="s">
        <v>317</v>
      </c>
      <c r="C120" t="s">
        <v>318</v>
      </c>
      <c r="D120" t="s">
        <v>10</v>
      </c>
      <c r="E120" t="s">
        <v>116</v>
      </c>
      <c r="G120" t="str">
        <f>HYPERLINK(_xlfn.CONCAT("https://tablet.otzar.org/",CHAR(35),"/book/638048/p/-1/t/1/fs/0/start/0/end/0/c"),"דורש טוב")</f>
        <v>דורש טוב</v>
      </c>
      <c r="H120" t="str">
        <f>_xlfn.CONCAT("https://tablet.otzar.org/",CHAR(35),"/book/638048/p/-1/t/1/fs/0/start/0/end/0/c")</f>
        <v>https://tablet.otzar.org/#/book/638048/p/-1/t/1/fs/0/start/0/end/0/c</v>
      </c>
    </row>
    <row r="121" spans="1:8" x14ac:dyDescent="0.25">
      <c r="A121">
        <v>156250</v>
      </c>
      <c r="B121" t="s">
        <v>319</v>
      </c>
      <c r="C121" t="s">
        <v>14</v>
      </c>
      <c r="D121" t="s">
        <v>10</v>
      </c>
      <c r="E121" t="s">
        <v>278</v>
      </c>
      <c r="F121" t="s">
        <v>158</v>
      </c>
      <c r="G121" t="str">
        <f>HYPERLINK(_xlfn.CONCAT("https://tablet.otzar.org/",CHAR(35),"/book/156250/p/-1/t/1/fs/0/start/0/end/0/c"),"דיוקנאות של מעלה")</f>
        <v>דיוקנאות של מעלה</v>
      </c>
      <c r="H121" t="str">
        <f>_xlfn.CONCAT("https://tablet.otzar.org/",CHAR(35),"/book/156250/p/-1/t/1/fs/0/start/0/end/0/c")</f>
        <v>https://tablet.otzar.org/#/book/156250/p/-1/t/1/fs/0/start/0/end/0/c</v>
      </c>
    </row>
    <row r="122" spans="1:8" x14ac:dyDescent="0.25">
      <c r="A122">
        <v>155576</v>
      </c>
      <c r="B122" t="s">
        <v>320</v>
      </c>
      <c r="C122" t="s">
        <v>321</v>
      </c>
      <c r="D122" t="s">
        <v>10</v>
      </c>
      <c r="E122" t="s">
        <v>28</v>
      </c>
      <c r="F122" t="s">
        <v>322</v>
      </c>
      <c r="G122" t="str">
        <f>HYPERLINK(_xlfn.CONCAT("https://tablet.otzar.org/",CHAR(35),"/book/155576/p/-1/t/1/fs/0/start/0/end/0/c"),"דין השיר")</f>
        <v>דין השיר</v>
      </c>
      <c r="H122" t="str">
        <f>_xlfn.CONCAT("https://tablet.otzar.org/",CHAR(35),"/book/155576/p/-1/t/1/fs/0/start/0/end/0/c")</f>
        <v>https://tablet.otzar.org/#/book/155576/p/-1/t/1/fs/0/start/0/end/0/c</v>
      </c>
    </row>
    <row r="123" spans="1:8" x14ac:dyDescent="0.25">
      <c r="A123">
        <v>169989</v>
      </c>
      <c r="B123" t="s">
        <v>323</v>
      </c>
      <c r="C123" t="s">
        <v>324</v>
      </c>
      <c r="D123" t="s">
        <v>10</v>
      </c>
      <c r="E123" t="s">
        <v>325</v>
      </c>
      <c r="F123" t="s">
        <v>55</v>
      </c>
      <c r="G123" t="str">
        <f>HYPERLINK(_xlfn.CONCAT("https://tablet.otzar.org/",CHAR(35),"/book/169989/p/-1/t/1/fs/0/start/0/end/0/c"),"דלות הכפירה")</f>
        <v>דלות הכפירה</v>
      </c>
      <c r="H123" t="str">
        <f>_xlfn.CONCAT("https://tablet.otzar.org/",CHAR(35),"/book/169989/p/-1/t/1/fs/0/start/0/end/0/c")</f>
        <v>https://tablet.otzar.org/#/book/169989/p/-1/t/1/fs/0/start/0/end/0/c</v>
      </c>
    </row>
    <row r="124" spans="1:8" x14ac:dyDescent="0.25">
      <c r="A124">
        <v>156202</v>
      </c>
      <c r="B124" t="s">
        <v>326</v>
      </c>
      <c r="C124" t="s">
        <v>327</v>
      </c>
      <c r="D124" t="s">
        <v>10</v>
      </c>
      <c r="E124" t="s">
        <v>28</v>
      </c>
      <c r="F124" t="s">
        <v>12</v>
      </c>
      <c r="G124" t="str">
        <f>HYPERLINK(_xlfn.CONCAT("https://tablet.otzar.org/",CHAR(35),"/book/156202/p/-1/t/1/fs/0/start/0/end/0/c"),"דם ודמע בגיטו לודז'")</f>
        <v>דם ודמע בגיטו לודז'</v>
      </c>
      <c r="H124" t="str">
        <f>_xlfn.CONCAT("https://tablet.otzar.org/",CHAR(35),"/book/156202/p/-1/t/1/fs/0/start/0/end/0/c")</f>
        <v>https://tablet.otzar.org/#/book/156202/p/-1/t/1/fs/0/start/0/end/0/c</v>
      </c>
    </row>
    <row r="125" spans="1:8" x14ac:dyDescent="0.25">
      <c r="A125">
        <v>156232</v>
      </c>
      <c r="B125" t="s">
        <v>328</v>
      </c>
      <c r="C125" t="s">
        <v>329</v>
      </c>
      <c r="D125" t="s">
        <v>10</v>
      </c>
      <c r="E125" t="s">
        <v>87</v>
      </c>
      <c r="F125" t="s">
        <v>12</v>
      </c>
      <c r="G125" t="str">
        <f>HYPERLINK(_xlfn.CONCAT("https://tablet.otzar.org/",CHAR(35),"/book/156232/p/-1/t/1/fs/0/start/0/end/0/c"),"דמויות ואירועים היסטורים")</f>
        <v>דמויות ואירועים היסטורים</v>
      </c>
      <c r="H125" t="str">
        <f>_xlfn.CONCAT("https://tablet.otzar.org/",CHAR(35),"/book/156232/p/-1/t/1/fs/0/start/0/end/0/c")</f>
        <v>https://tablet.otzar.org/#/book/156232/p/-1/t/1/fs/0/start/0/end/0/c</v>
      </c>
    </row>
    <row r="126" spans="1:8" x14ac:dyDescent="0.25">
      <c r="A126">
        <v>154985</v>
      </c>
      <c r="B126" t="s">
        <v>330</v>
      </c>
      <c r="C126" t="s">
        <v>21</v>
      </c>
      <c r="D126" t="s">
        <v>10</v>
      </c>
      <c r="E126" t="s">
        <v>208</v>
      </c>
      <c r="F126" t="s">
        <v>59</v>
      </c>
      <c r="G126" t="str">
        <f>HYPERLINK(_xlfn.CONCAT("https://tablet.otzar.org/",CHAR(35),"/book/154985/p/-1/t/1/fs/0/start/0/end/0/c"),"דעת כהן")</f>
        <v>דעת כהן</v>
      </c>
      <c r="H126" t="str">
        <f>_xlfn.CONCAT("https://tablet.otzar.org/",CHAR(35),"/book/154985/p/-1/t/1/fs/0/start/0/end/0/c")</f>
        <v>https://tablet.otzar.org/#/book/154985/p/-1/t/1/fs/0/start/0/end/0/c</v>
      </c>
    </row>
    <row r="127" spans="1:8" x14ac:dyDescent="0.25">
      <c r="A127">
        <v>157388</v>
      </c>
      <c r="B127" t="s">
        <v>331</v>
      </c>
      <c r="C127" t="s">
        <v>332</v>
      </c>
      <c r="D127" t="s">
        <v>10</v>
      </c>
      <c r="E127" t="s">
        <v>325</v>
      </c>
      <c r="F127" t="s">
        <v>76</v>
      </c>
      <c r="G127" t="str">
        <f>HYPERLINK(_xlfn.CONCAT("https://tablet.otzar.org/",CHAR(35),"/exKotar/157388"),"דעת עזרא &lt;על פירוש ראב""""ע&gt;  - 6 כרכים")</f>
        <v>דעת עזרא &lt;על פירוש ראב""ע&gt;  - 6 כרכים</v>
      </c>
      <c r="H127" t="str">
        <f>_xlfn.CONCAT("https://tablet.otzar.org/",CHAR(35),"/exKotar/157388")</f>
        <v>https://tablet.otzar.org/#/exKotar/157388</v>
      </c>
    </row>
    <row r="128" spans="1:8" x14ac:dyDescent="0.25">
      <c r="A128">
        <v>638032</v>
      </c>
      <c r="B128" t="s">
        <v>333</v>
      </c>
      <c r="C128" t="s">
        <v>61</v>
      </c>
      <c r="D128" t="s">
        <v>10</v>
      </c>
      <c r="E128" t="s">
        <v>43</v>
      </c>
      <c r="F128" t="s">
        <v>23</v>
      </c>
      <c r="G128" t="str">
        <f>HYPERLINK(_xlfn.CONCAT("https://tablet.otzar.org/",CHAR(35),"/book/638032/p/-1/t/1/fs/0/start/0/end/0/c"),"דקדוק אליהו &lt;מהדורה חדשה&gt;")</f>
        <v>דקדוק אליהו &lt;מהדורה חדשה&gt;</v>
      </c>
      <c r="H128" t="str">
        <f>_xlfn.CONCAT("https://tablet.otzar.org/",CHAR(35),"/book/638032/p/-1/t/1/fs/0/start/0/end/0/c")</f>
        <v>https://tablet.otzar.org/#/book/638032/p/-1/t/1/fs/0/start/0/end/0/c</v>
      </c>
    </row>
    <row r="129" spans="1:8" x14ac:dyDescent="0.25">
      <c r="A129">
        <v>155198</v>
      </c>
      <c r="B129" t="s">
        <v>334</v>
      </c>
      <c r="C129" t="s">
        <v>335</v>
      </c>
      <c r="D129" t="s">
        <v>10</v>
      </c>
      <c r="E129" t="s">
        <v>193</v>
      </c>
      <c r="F129" t="s">
        <v>158</v>
      </c>
      <c r="G129" t="str">
        <f>HYPERLINK(_xlfn.CONCAT("https://tablet.otzar.org/",CHAR(35),"/book/155198/p/-1/t/1/fs/0/start/0/end/0/c"),"דרישת ציון")</f>
        <v>דרישת ציון</v>
      </c>
      <c r="H129" t="str">
        <f>_xlfn.CONCAT("https://tablet.otzar.org/",CHAR(35),"/book/155198/p/-1/t/1/fs/0/start/0/end/0/c")</f>
        <v>https://tablet.otzar.org/#/book/155198/p/-1/t/1/fs/0/start/0/end/0/c</v>
      </c>
    </row>
    <row r="130" spans="1:8" x14ac:dyDescent="0.25">
      <c r="A130">
        <v>677777</v>
      </c>
      <c r="B130" t="s">
        <v>336</v>
      </c>
      <c r="C130" t="s">
        <v>337</v>
      </c>
      <c r="D130" t="s">
        <v>10</v>
      </c>
      <c r="E130" t="s">
        <v>338</v>
      </c>
      <c r="F130" t="s">
        <v>23</v>
      </c>
      <c r="G130" t="str">
        <f>HYPERLINK(_xlfn.CONCAT("https://tablet.otzar.org/",CHAR(35),"/book/677777/p/-1/t/1/fs/0/start/0/end/0/c"),"דרכי רש""""י")</f>
        <v>דרכי רש""י</v>
      </c>
      <c r="H130" t="str">
        <f>_xlfn.CONCAT("https://tablet.otzar.org/",CHAR(35),"/book/677777/p/-1/t/1/fs/0/start/0/end/0/c")</f>
        <v>https://tablet.otzar.org/#/book/677777/p/-1/t/1/fs/0/start/0/end/0/c</v>
      </c>
    </row>
    <row r="131" spans="1:8" x14ac:dyDescent="0.25">
      <c r="A131">
        <v>647285</v>
      </c>
      <c r="B131" t="s">
        <v>339</v>
      </c>
      <c r="C131" t="s">
        <v>340</v>
      </c>
      <c r="D131" t="s">
        <v>10</v>
      </c>
      <c r="E131" t="s">
        <v>49</v>
      </c>
      <c r="F131" t="s">
        <v>19</v>
      </c>
      <c r="G131" t="str">
        <f>HYPERLINK(_xlfn.CONCAT("https://tablet.otzar.org/",CHAR(35),"/book/647285/p/-1/t/1/fs/0/start/0/end/0/c"),"דרש דרש יוסף")</f>
        <v>דרש דרש יוסף</v>
      </c>
      <c r="H131" t="str">
        <f>_xlfn.CONCAT("https://tablet.otzar.org/",CHAR(35),"/book/647285/p/-1/t/1/fs/0/start/0/end/0/c")</f>
        <v>https://tablet.otzar.org/#/book/647285/p/-1/t/1/fs/0/start/0/end/0/c</v>
      </c>
    </row>
    <row r="132" spans="1:8" x14ac:dyDescent="0.25">
      <c r="A132">
        <v>194405</v>
      </c>
      <c r="B132" t="s">
        <v>341</v>
      </c>
      <c r="C132" t="s">
        <v>342</v>
      </c>
      <c r="D132" t="s">
        <v>10</v>
      </c>
      <c r="E132" t="s">
        <v>65</v>
      </c>
      <c r="F132" t="s">
        <v>343</v>
      </c>
      <c r="G132" t="str">
        <f>HYPERLINK(_xlfn.CONCAT("https://tablet.otzar.org/",CHAR(35),"/book/194405/p/-1/t/1/fs/0/start/0/end/0/c"),"דרשות בית דוד")</f>
        <v>דרשות בית דוד</v>
      </c>
      <c r="H132" t="str">
        <f>_xlfn.CONCAT("https://tablet.otzar.org/",CHAR(35),"/book/194405/p/-1/t/1/fs/0/start/0/end/0/c")</f>
        <v>https://tablet.otzar.org/#/book/194405/p/-1/t/1/fs/0/start/0/end/0/c</v>
      </c>
    </row>
    <row r="133" spans="1:8" x14ac:dyDescent="0.25">
      <c r="A133">
        <v>601537</v>
      </c>
      <c r="B133" t="s">
        <v>344</v>
      </c>
      <c r="C133" t="s">
        <v>345</v>
      </c>
      <c r="D133" t="s">
        <v>10</v>
      </c>
      <c r="E133" t="s">
        <v>187</v>
      </c>
      <c r="F133" t="s">
        <v>148</v>
      </c>
      <c r="G133" t="str">
        <f>HYPERLINK(_xlfn.CONCAT("https://tablet.otzar.org/",CHAR(35),"/book/601537/p/-1/t/1/fs/0/start/0/end/0/c"),"דרשות הר""""ן השלם מנוקד")</f>
        <v>דרשות הר""ן השלם מנוקד</v>
      </c>
      <c r="H133" t="str">
        <f>_xlfn.CONCAT("https://tablet.otzar.org/",CHAR(35),"/book/601537/p/-1/t/1/fs/0/start/0/end/0/c")</f>
        <v>https://tablet.otzar.org/#/book/601537/p/-1/t/1/fs/0/start/0/end/0/c</v>
      </c>
    </row>
    <row r="134" spans="1:8" x14ac:dyDescent="0.25">
      <c r="A134">
        <v>154751</v>
      </c>
      <c r="B134" t="s">
        <v>346</v>
      </c>
      <c r="C134" t="s">
        <v>345</v>
      </c>
      <c r="D134" t="s">
        <v>10</v>
      </c>
      <c r="E134" t="s">
        <v>347</v>
      </c>
      <c r="F134" t="s">
        <v>148</v>
      </c>
      <c r="G134" t="str">
        <f>HYPERLINK(_xlfn.CONCAT("https://tablet.otzar.org/",CHAR(35),"/book/154751/p/-1/t/1/fs/0/start/0/end/0/c"),"דרשות הר""""ן השלם עם פירוש בארות משה")</f>
        <v>דרשות הר""ן השלם עם פירוש בארות משה</v>
      </c>
      <c r="H134" t="str">
        <f>_xlfn.CONCAT("https://tablet.otzar.org/",CHAR(35),"/book/154751/p/-1/t/1/fs/0/start/0/end/0/c")</f>
        <v>https://tablet.otzar.org/#/book/154751/p/-1/t/1/fs/0/start/0/end/0/c</v>
      </c>
    </row>
    <row r="135" spans="1:8" x14ac:dyDescent="0.25">
      <c r="A135">
        <v>194404</v>
      </c>
      <c r="B135" t="s">
        <v>348</v>
      </c>
      <c r="C135" t="s">
        <v>342</v>
      </c>
      <c r="D135" t="s">
        <v>10</v>
      </c>
      <c r="E135" t="s">
        <v>65</v>
      </c>
      <c r="F135" t="s">
        <v>148</v>
      </c>
      <c r="G135" t="str">
        <f>HYPERLINK(_xlfn.CONCAT("https://tablet.otzar.org/",CHAR(35),"/book/194404/p/-1/t/1/fs/0/start/0/end/0/c"),"דרשות נחלת דוד")</f>
        <v>דרשות נחלת דוד</v>
      </c>
      <c r="H135" t="str">
        <f>_xlfn.CONCAT("https://tablet.otzar.org/",CHAR(35),"/book/194404/p/-1/t/1/fs/0/start/0/end/0/c")</f>
        <v>https://tablet.otzar.org/#/book/194404/p/-1/t/1/fs/0/start/0/end/0/c</v>
      </c>
    </row>
    <row r="136" spans="1:8" x14ac:dyDescent="0.25">
      <c r="A136">
        <v>638036</v>
      </c>
      <c r="B136" t="s">
        <v>349</v>
      </c>
      <c r="C136" t="s">
        <v>350</v>
      </c>
      <c r="D136" t="s">
        <v>10</v>
      </c>
      <c r="E136" t="s">
        <v>116</v>
      </c>
      <c r="G136" t="str">
        <f>HYPERLINK(_xlfn.CONCAT("https://tablet.otzar.org/",CHAR(35),"/book/638036/p/-1/t/1/fs/0/start/0/end/0/c"),"האדם ומידותיו במשנת המהר""""ל")</f>
        <v>האדם ומידותיו במשנת המהר""ל</v>
      </c>
      <c r="H136" t="str">
        <f>_xlfn.CONCAT("https://tablet.otzar.org/",CHAR(35),"/book/638036/p/-1/t/1/fs/0/start/0/end/0/c")</f>
        <v>https://tablet.otzar.org/#/book/638036/p/-1/t/1/fs/0/start/0/end/0/c</v>
      </c>
    </row>
    <row r="137" spans="1:8" x14ac:dyDescent="0.25">
      <c r="A137">
        <v>156325</v>
      </c>
      <c r="B137" t="s">
        <v>351</v>
      </c>
      <c r="C137" t="s">
        <v>352</v>
      </c>
      <c r="D137" t="s">
        <v>10</v>
      </c>
      <c r="E137" t="s">
        <v>204</v>
      </c>
      <c r="F137" t="s">
        <v>23</v>
      </c>
      <c r="G137" t="str">
        <f>HYPERLINK(_xlfn.CONCAT("https://tablet.otzar.org/",CHAR(35),"/book/156325/p/-1/t/1/fs/0/start/0/end/0/c"),"האוצר של הסבתא")</f>
        <v>האוצר של הסבתא</v>
      </c>
      <c r="H137" t="str">
        <f>_xlfn.CONCAT("https://tablet.otzar.org/",CHAR(35),"/book/156325/p/-1/t/1/fs/0/start/0/end/0/c")</f>
        <v>https://tablet.otzar.org/#/book/156325/p/-1/t/1/fs/0/start/0/end/0/c</v>
      </c>
    </row>
    <row r="138" spans="1:8" x14ac:dyDescent="0.25">
      <c r="A138">
        <v>155168</v>
      </c>
      <c r="B138" t="s">
        <v>353</v>
      </c>
      <c r="C138" t="s">
        <v>354</v>
      </c>
      <c r="D138" t="s">
        <v>10</v>
      </c>
      <c r="E138" t="s">
        <v>193</v>
      </c>
      <c r="F138" t="s">
        <v>12</v>
      </c>
      <c r="G138" t="str">
        <f>HYPERLINK(_xlfn.CONCAT("https://tablet.otzar.org/",CHAR(35),"/book/155168/p/-1/t/1/fs/0/start/0/end/0/c"),"הארי שבחכמי פראג - תולדות המהר""""ל מפראג")</f>
        <v>הארי שבחכמי פראג - תולדות המהר""ל מפראג</v>
      </c>
      <c r="H138" t="str">
        <f>_xlfn.CONCAT("https://tablet.otzar.org/",CHAR(35),"/book/155168/p/-1/t/1/fs/0/start/0/end/0/c")</f>
        <v>https://tablet.otzar.org/#/book/155168/p/-1/t/1/fs/0/start/0/end/0/c</v>
      </c>
    </row>
    <row r="139" spans="1:8" x14ac:dyDescent="0.25">
      <c r="A139">
        <v>676044</v>
      </c>
      <c r="B139" t="s">
        <v>355</v>
      </c>
      <c r="C139" t="s">
        <v>356</v>
      </c>
      <c r="D139" t="s">
        <v>10</v>
      </c>
      <c r="E139" t="s">
        <v>116</v>
      </c>
      <c r="F139" t="s">
        <v>262</v>
      </c>
      <c r="G139" t="str">
        <f>HYPERLINK(_xlfn.CONCAT("https://tablet.otzar.org/",CHAR(35),"/book/676044/p/-1/t/1/fs/0/start/0/end/0/c"),"האתרוג")</f>
        <v>האתרוג</v>
      </c>
      <c r="H139" t="str">
        <f>_xlfn.CONCAT("https://tablet.otzar.org/",CHAR(35),"/book/676044/p/-1/t/1/fs/0/start/0/end/0/c")</f>
        <v>https://tablet.otzar.org/#/book/676044/p/-1/t/1/fs/0/start/0/end/0/c</v>
      </c>
    </row>
    <row r="140" spans="1:8" x14ac:dyDescent="0.25">
      <c r="A140">
        <v>155305</v>
      </c>
      <c r="B140" t="s">
        <v>357</v>
      </c>
      <c r="C140" t="s">
        <v>358</v>
      </c>
      <c r="D140" t="s">
        <v>10</v>
      </c>
      <c r="E140" t="s">
        <v>359</v>
      </c>
      <c r="F140" t="s">
        <v>23</v>
      </c>
      <c r="G140" t="str">
        <f>HYPERLINK(_xlfn.CONCAT("https://tablet.otzar.org/",CHAR(35),"/book/155305/p/-1/t/1/fs/0/start/0/end/0/c"),"הבית השני בתפארתו")</f>
        <v>הבית השני בתפארתו</v>
      </c>
      <c r="H140" t="str">
        <f>_xlfn.CONCAT("https://tablet.otzar.org/",CHAR(35),"/book/155305/p/-1/t/1/fs/0/start/0/end/0/c")</f>
        <v>https://tablet.otzar.org/#/book/155305/p/-1/t/1/fs/0/start/0/end/0/c</v>
      </c>
    </row>
    <row r="141" spans="1:8" x14ac:dyDescent="0.25">
      <c r="A141">
        <v>170011</v>
      </c>
      <c r="B141" t="s">
        <v>360</v>
      </c>
      <c r="C141" t="s">
        <v>248</v>
      </c>
      <c r="D141" t="s">
        <v>10</v>
      </c>
      <c r="E141" t="s">
        <v>157</v>
      </c>
      <c r="F141" t="s">
        <v>262</v>
      </c>
      <c r="G141" t="str">
        <f>HYPERLINK(_xlfn.CONCAT("https://tablet.otzar.org/",CHAR(35),"/book/170011/p/-1/t/1/fs/0/start/0/end/0/c"),"הגדה של פסח &lt;יד מצרים&gt;")</f>
        <v>הגדה של פסח &lt;יד מצרים&gt;</v>
      </c>
      <c r="H141" t="str">
        <f>_xlfn.CONCAT("https://tablet.otzar.org/",CHAR(35),"/book/170011/p/-1/t/1/fs/0/start/0/end/0/c")</f>
        <v>https://tablet.otzar.org/#/book/170011/p/-1/t/1/fs/0/start/0/end/0/c</v>
      </c>
    </row>
    <row r="142" spans="1:8" x14ac:dyDescent="0.25">
      <c r="A142">
        <v>170024</v>
      </c>
      <c r="B142" t="s">
        <v>361</v>
      </c>
      <c r="C142" t="s">
        <v>362</v>
      </c>
      <c r="D142" t="s">
        <v>10</v>
      </c>
      <c r="E142" t="s">
        <v>325</v>
      </c>
      <c r="F142" t="s">
        <v>262</v>
      </c>
      <c r="G142" t="str">
        <f>HYPERLINK(_xlfn.CONCAT("https://tablet.otzar.org/",CHAR(35),"/book/170024/p/-1/t/1/fs/0/start/0/end/0/c"),"הגדה של פסח &lt;שירת מרים&gt; - הגדה ממקורה")</f>
        <v>הגדה של פסח &lt;שירת מרים&gt; - הגדה ממקורה</v>
      </c>
      <c r="H142" t="str">
        <f>_xlfn.CONCAT("https://tablet.otzar.org/",CHAR(35),"/book/170024/p/-1/t/1/fs/0/start/0/end/0/c")</f>
        <v>https://tablet.otzar.org/#/book/170024/p/-1/t/1/fs/0/start/0/end/0/c</v>
      </c>
    </row>
    <row r="143" spans="1:8" x14ac:dyDescent="0.25">
      <c r="A143">
        <v>606735</v>
      </c>
      <c r="B143" t="s">
        <v>363</v>
      </c>
      <c r="C143" t="s">
        <v>364</v>
      </c>
      <c r="D143" t="s">
        <v>10</v>
      </c>
      <c r="E143" t="s">
        <v>100</v>
      </c>
      <c r="F143" t="s">
        <v>262</v>
      </c>
      <c r="G143" t="str">
        <f>HYPERLINK(_xlfn.CONCAT("https://tablet.otzar.org/",CHAR(35),"/exKotar/606735"),"הגדה של פסח &lt;מדה כנגד מדה&gt; - 2 כרכים")</f>
        <v>הגדה של פסח &lt;מדה כנגד מדה&gt; - 2 כרכים</v>
      </c>
      <c r="H143" t="str">
        <f>_xlfn.CONCAT("https://tablet.otzar.org/",CHAR(35),"/exKotar/606735")</f>
        <v>https://tablet.otzar.org/#/exKotar/606735</v>
      </c>
    </row>
    <row r="144" spans="1:8" x14ac:dyDescent="0.25">
      <c r="A144">
        <v>638055</v>
      </c>
      <c r="B144" t="s">
        <v>365</v>
      </c>
      <c r="C144" t="s">
        <v>366</v>
      </c>
      <c r="D144" t="s">
        <v>10</v>
      </c>
      <c r="E144" t="s">
        <v>116</v>
      </c>
      <c r="F144" t="s">
        <v>262</v>
      </c>
      <c r="G144" t="str">
        <f>HYPERLINK(_xlfn.CONCAT("https://tablet.otzar.org/",CHAR(35),"/book/638055/p/-1/t/1/fs/0/start/0/end/0/c"),"הגדה של פסח עם באור אור ישרים")</f>
        <v>הגדה של פסח עם באור אור ישרים</v>
      </c>
      <c r="H144" t="str">
        <f>_xlfn.CONCAT("https://tablet.otzar.org/",CHAR(35),"/book/638055/p/-1/t/1/fs/0/start/0/end/0/c")</f>
        <v>https://tablet.otzar.org/#/book/638055/p/-1/t/1/fs/0/start/0/end/0/c</v>
      </c>
    </row>
    <row r="145" spans="1:8" x14ac:dyDescent="0.25">
      <c r="A145">
        <v>622912</v>
      </c>
      <c r="B145" t="s">
        <v>367</v>
      </c>
      <c r="C145" t="s">
        <v>368</v>
      </c>
      <c r="D145" t="s">
        <v>10</v>
      </c>
      <c r="E145" t="s">
        <v>43</v>
      </c>
      <c r="F145" t="s">
        <v>262</v>
      </c>
      <c r="G145" t="str">
        <f>HYPERLINK(_xlfn.CONCAT("https://tablet.otzar.org/",CHAR(35),"/book/622912/p/-1/t/1/fs/0/start/0/end/0/c"),"הגדה של פסח עם ביאור תולדות אדם &lt;מהדורה חדשה&gt;")</f>
        <v>הגדה של פסח עם ביאור תולדות אדם &lt;מהדורה חדשה&gt;</v>
      </c>
      <c r="H145" t="str">
        <f>_xlfn.CONCAT("https://tablet.otzar.org/",CHAR(35),"/book/622912/p/-1/t/1/fs/0/start/0/end/0/c")</f>
        <v>https://tablet.otzar.org/#/book/622912/p/-1/t/1/fs/0/start/0/end/0/c</v>
      </c>
    </row>
    <row r="146" spans="1:8" x14ac:dyDescent="0.25">
      <c r="A146">
        <v>155136</v>
      </c>
      <c r="B146" t="s">
        <v>369</v>
      </c>
      <c r="C146" t="s">
        <v>370</v>
      </c>
      <c r="D146" t="s">
        <v>10</v>
      </c>
      <c r="E146" t="s">
        <v>132</v>
      </c>
      <c r="F146" t="s">
        <v>262</v>
      </c>
      <c r="G146" t="str">
        <f>HYPERLINK(_xlfn.CONCAT("https://tablet.otzar.org/",CHAR(35),"/book/155136/p/-1/t/1/fs/0/start/0/end/0/c"),"הגדה של פסח עם פירוש זבח פסח")</f>
        <v>הגדה של פסח עם פירוש זבח פסח</v>
      </c>
      <c r="H146" t="str">
        <f>_xlfn.CONCAT("https://tablet.otzar.org/",CHAR(35),"/book/155136/p/-1/t/1/fs/0/start/0/end/0/c")</f>
        <v>https://tablet.otzar.org/#/book/155136/p/-1/t/1/fs/0/start/0/end/0/c</v>
      </c>
    </row>
    <row r="147" spans="1:8" x14ac:dyDescent="0.25">
      <c r="A147">
        <v>154998</v>
      </c>
      <c r="B147" t="s">
        <v>371</v>
      </c>
      <c r="C147" t="s">
        <v>21</v>
      </c>
      <c r="D147" t="s">
        <v>10</v>
      </c>
      <c r="E147" t="s">
        <v>347</v>
      </c>
      <c r="F147" t="s">
        <v>262</v>
      </c>
      <c r="G147" t="str">
        <f>HYPERLINK(_xlfn.CONCAT("https://tablet.otzar.org/",CHAR(35),"/book/154998/p/-1/t/1/fs/0/start/0/end/0/c"),"הגדה של פסח עם פירוש עולת ראיה")</f>
        <v>הגדה של פסח עם פירוש עולת ראיה</v>
      </c>
      <c r="H147" t="str">
        <f>_xlfn.CONCAT("https://tablet.otzar.org/",CHAR(35),"/book/154998/p/-1/t/1/fs/0/start/0/end/0/c")</f>
        <v>https://tablet.otzar.org/#/book/154998/p/-1/t/1/fs/0/start/0/end/0/c</v>
      </c>
    </row>
    <row r="148" spans="1:8" x14ac:dyDescent="0.25">
      <c r="A148">
        <v>194402</v>
      </c>
      <c r="B148" t="s">
        <v>372</v>
      </c>
      <c r="C148" t="s">
        <v>373</v>
      </c>
      <c r="D148" t="s">
        <v>10</v>
      </c>
      <c r="E148" t="s">
        <v>65</v>
      </c>
      <c r="F148" t="s">
        <v>262</v>
      </c>
      <c r="G148" t="str">
        <f>HYPERLINK(_xlfn.CONCAT("https://tablet.otzar.org/",CHAR(35),"/book/194402/p/-1/t/1/fs/0/start/0/end/0/c"),"הגדה של פסח עם תורת הראשונים")</f>
        <v>הגדה של פסח עם תורת הראשונים</v>
      </c>
      <c r="H148" t="str">
        <f>_xlfn.CONCAT("https://tablet.otzar.org/",CHAR(35),"/book/194402/p/-1/t/1/fs/0/start/0/end/0/c")</f>
        <v>https://tablet.otzar.org/#/book/194402/p/-1/t/1/fs/0/start/0/end/0/c</v>
      </c>
    </row>
    <row r="149" spans="1:8" x14ac:dyDescent="0.25">
      <c r="A149">
        <v>677781</v>
      </c>
      <c r="B149" t="s">
        <v>374</v>
      </c>
      <c r="C149" t="s">
        <v>191</v>
      </c>
      <c r="D149" t="s">
        <v>10</v>
      </c>
      <c r="E149" t="s">
        <v>338</v>
      </c>
      <c r="F149" t="s">
        <v>262</v>
      </c>
      <c r="G149" t="str">
        <f>HYPERLINK(_xlfn.CONCAT("https://tablet.otzar.org/",CHAR(35),"/book/677781/p/-1/t/1/fs/0/start/0/end/0/c"),"הגדת אור טוביה")</f>
        <v>הגדת אור טוביה</v>
      </c>
      <c r="H149" t="str">
        <f>_xlfn.CONCAT("https://tablet.otzar.org/",CHAR(35),"/book/677781/p/-1/t/1/fs/0/start/0/end/0/c")</f>
        <v>https://tablet.otzar.org/#/book/677781/p/-1/t/1/fs/0/start/0/end/0/c</v>
      </c>
    </row>
    <row r="150" spans="1:8" x14ac:dyDescent="0.25">
      <c r="A150">
        <v>677758</v>
      </c>
      <c r="B150" t="s">
        <v>375</v>
      </c>
      <c r="C150" t="s">
        <v>115</v>
      </c>
      <c r="D150" t="s">
        <v>10</v>
      </c>
      <c r="E150" t="s">
        <v>338</v>
      </c>
      <c r="F150" t="s">
        <v>117</v>
      </c>
      <c r="G150" t="str">
        <f>HYPERLINK(_xlfn.CONCAT("https://tablet.otzar.org/",CHAR(35),"/book/677758/p/-1/t/1/fs/0/start/0/end/0/c"),"הגות במדרשי האגדות")</f>
        <v>הגות במדרשי האגדות</v>
      </c>
      <c r="H150" t="str">
        <f>_xlfn.CONCAT("https://tablet.otzar.org/",CHAR(35),"/book/677758/p/-1/t/1/fs/0/start/0/end/0/c")</f>
        <v>https://tablet.otzar.org/#/book/677758/p/-1/t/1/fs/0/start/0/end/0/c</v>
      </c>
    </row>
    <row r="151" spans="1:8" x14ac:dyDescent="0.25">
      <c r="A151">
        <v>157315</v>
      </c>
      <c r="B151" t="s">
        <v>376</v>
      </c>
      <c r="C151" t="s">
        <v>377</v>
      </c>
      <c r="D151" t="s">
        <v>10</v>
      </c>
      <c r="E151" t="s">
        <v>265</v>
      </c>
      <c r="F151" t="s">
        <v>55</v>
      </c>
      <c r="G151" t="str">
        <f>HYPERLINK(_xlfn.CONCAT("https://tablet.otzar.org/",CHAR(35),"/book/157315/p/-1/t/1/fs/0/start/0/end/0/c"),"הגות במחשבת ישראל המקורית")</f>
        <v>הגות במחשבת ישראל המקורית</v>
      </c>
      <c r="H151" t="str">
        <f>_xlfn.CONCAT("https://tablet.otzar.org/",CHAR(35),"/book/157315/p/-1/t/1/fs/0/start/0/end/0/c")</f>
        <v>https://tablet.otzar.org/#/book/157315/p/-1/t/1/fs/0/start/0/end/0/c</v>
      </c>
    </row>
    <row r="152" spans="1:8" x14ac:dyDescent="0.25">
      <c r="A152">
        <v>102977</v>
      </c>
      <c r="B152" t="s">
        <v>378</v>
      </c>
      <c r="C152" t="s">
        <v>379</v>
      </c>
      <c r="D152" t="s">
        <v>10</v>
      </c>
      <c r="E152" t="s">
        <v>120</v>
      </c>
      <c r="F152" t="s">
        <v>380</v>
      </c>
      <c r="G152" t="str">
        <f>HYPERLINK(_xlfn.CONCAT("https://tablet.otzar.org/",CHAR(35),"/book/102977/p/-1/t/1/fs/0/start/0/end/0/c"),"הגות והלכה")</f>
        <v>הגות והלכה</v>
      </c>
      <c r="H152" t="str">
        <f>_xlfn.CONCAT("https://tablet.otzar.org/",CHAR(35),"/book/102977/p/-1/t/1/fs/0/start/0/end/0/c")</f>
        <v>https://tablet.otzar.org/#/book/102977/p/-1/t/1/fs/0/start/0/end/0/c</v>
      </c>
    </row>
    <row r="153" spans="1:8" x14ac:dyDescent="0.25">
      <c r="A153">
        <v>157371</v>
      </c>
      <c r="B153" t="s">
        <v>381</v>
      </c>
      <c r="C153" t="s">
        <v>382</v>
      </c>
      <c r="D153" t="s">
        <v>10</v>
      </c>
      <c r="E153" t="s">
        <v>383</v>
      </c>
      <c r="F153" t="s">
        <v>101</v>
      </c>
      <c r="G153" t="str">
        <f>HYPERLINK(_xlfn.CONCAT("https://tablet.otzar.org/",CHAR(35),"/book/157371/p/-1/t/1/fs/0/start/0/end/0/c"),"הגיוני הלכה")</f>
        <v>הגיוני הלכה</v>
      </c>
      <c r="H153" t="str">
        <f>_xlfn.CONCAT("https://tablet.otzar.org/",CHAR(35),"/book/157371/p/-1/t/1/fs/0/start/0/end/0/c")</f>
        <v>https://tablet.otzar.org/#/book/157371/p/-1/t/1/fs/0/start/0/end/0/c</v>
      </c>
    </row>
    <row r="154" spans="1:8" x14ac:dyDescent="0.25">
      <c r="A154">
        <v>157332</v>
      </c>
      <c r="B154" t="s">
        <v>384</v>
      </c>
      <c r="C154" t="s">
        <v>385</v>
      </c>
      <c r="D154" t="s">
        <v>10</v>
      </c>
      <c r="E154" t="s">
        <v>227</v>
      </c>
      <c r="F154" t="s">
        <v>12</v>
      </c>
      <c r="G154" t="str">
        <f>HYPERLINK(_xlfn.CONCAT("https://tablet.otzar.org/",CHAR(35),"/book/157332/p/-1/t/1/fs/0/start/0/end/0/c"),"הדפוס העברי בקרימונה")</f>
        <v>הדפוס העברי בקרימונה</v>
      </c>
      <c r="H154" t="str">
        <f>_xlfn.CONCAT("https://tablet.otzar.org/",CHAR(35),"/book/157332/p/-1/t/1/fs/0/start/0/end/0/c")</f>
        <v>https://tablet.otzar.org/#/book/157332/p/-1/t/1/fs/0/start/0/end/0/c</v>
      </c>
    </row>
    <row r="155" spans="1:8" x14ac:dyDescent="0.25">
      <c r="A155">
        <v>156296</v>
      </c>
      <c r="B155" t="s">
        <v>386</v>
      </c>
      <c r="C155" t="s">
        <v>387</v>
      </c>
      <c r="D155" t="s">
        <v>10</v>
      </c>
      <c r="E155" t="s">
        <v>388</v>
      </c>
      <c r="F155" t="s">
        <v>23</v>
      </c>
      <c r="G155" t="str">
        <f>HYPERLINK(_xlfn.CONCAT("https://tablet.otzar.org/",CHAR(35),"/book/156296/p/-1/t/1/fs/0/start/0/end/0/c"),"הדקדוק כיסוד בהלכה")</f>
        <v>הדקדוק כיסוד בהלכה</v>
      </c>
      <c r="H155" t="str">
        <f>_xlfn.CONCAT("https://tablet.otzar.org/",CHAR(35),"/book/156296/p/-1/t/1/fs/0/start/0/end/0/c")</f>
        <v>https://tablet.otzar.org/#/book/156296/p/-1/t/1/fs/0/start/0/end/0/c</v>
      </c>
    </row>
    <row r="156" spans="1:8" x14ac:dyDescent="0.25">
      <c r="A156">
        <v>157029</v>
      </c>
      <c r="B156" t="s">
        <v>389</v>
      </c>
      <c r="C156" t="s">
        <v>390</v>
      </c>
      <c r="D156" t="s">
        <v>10</v>
      </c>
      <c r="E156" t="s">
        <v>36</v>
      </c>
      <c r="G156" t="str">
        <f>HYPERLINK(_xlfn.CONCAT("https://tablet.otzar.org/",CHAR(35),"/book/157029/p/-1/t/1/fs/0/start/0/end/0/c"),"הדר איתמר")</f>
        <v>הדר איתמר</v>
      </c>
      <c r="H156" t="str">
        <f>_xlfn.CONCAT("https://tablet.otzar.org/",CHAR(35),"/book/157029/p/-1/t/1/fs/0/start/0/end/0/c")</f>
        <v>https://tablet.otzar.org/#/book/157029/p/-1/t/1/fs/0/start/0/end/0/c</v>
      </c>
    </row>
    <row r="157" spans="1:8" x14ac:dyDescent="0.25">
      <c r="A157">
        <v>677733</v>
      </c>
      <c r="B157" t="s">
        <v>391</v>
      </c>
      <c r="C157" t="s">
        <v>61</v>
      </c>
      <c r="D157" t="s">
        <v>10</v>
      </c>
      <c r="E157" t="s">
        <v>338</v>
      </c>
      <c r="F157" t="s">
        <v>23</v>
      </c>
      <c r="G157" t="str">
        <f>HYPERLINK(_xlfn.CONCAT("https://tablet.otzar.org/",CHAR(35),"/book/677733/p/-1/t/1/fs/0/start/0/end/0/c"),"הדרת אליהו")</f>
        <v>הדרת אליהו</v>
      </c>
      <c r="H157" t="str">
        <f>_xlfn.CONCAT("https://tablet.otzar.org/",CHAR(35),"/book/677733/p/-1/t/1/fs/0/start/0/end/0/c")</f>
        <v>https://tablet.otzar.org/#/book/677733/p/-1/t/1/fs/0/start/0/end/0/c</v>
      </c>
    </row>
    <row r="158" spans="1:8" x14ac:dyDescent="0.25">
      <c r="A158">
        <v>180352</v>
      </c>
      <c r="B158" t="s">
        <v>392</v>
      </c>
      <c r="C158" t="s">
        <v>393</v>
      </c>
      <c r="D158" t="s">
        <v>10</v>
      </c>
      <c r="E158" t="s">
        <v>394</v>
      </c>
      <c r="F158" t="s">
        <v>19</v>
      </c>
      <c r="G158" t="str">
        <f>HYPERLINK(_xlfn.CONCAT("https://tablet.otzar.org/",CHAR(35),"/book/180352/p/-1/t/1/fs/0/start/0/end/0/c"),"הדרת קודש")</f>
        <v>הדרת קודש</v>
      </c>
      <c r="H158" t="str">
        <f>_xlfn.CONCAT("https://tablet.otzar.org/",CHAR(35),"/book/180352/p/-1/t/1/fs/0/start/0/end/0/c")</f>
        <v>https://tablet.otzar.org/#/book/180352/p/-1/t/1/fs/0/start/0/end/0/c</v>
      </c>
    </row>
    <row r="159" spans="1:8" x14ac:dyDescent="0.25">
      <c r="A159">
        <v>155283</v>
      </c>
      <c r="B159" t="s">
        <v>395</v>
      </c>
      <c r="C159" t="s">
        <v>396</v>
      </c>
      <c r="D159" t="s">
        <v>10</v>
      </c>
      <c r="E159" t="s">
        <v>132</v>
      </c>
      <c r="F159" t="s">
        <v>397</v>
      </c>
      <c r="G159" t="str">
        <f>HYPERLINK(_xlfn.CONCAT("https://tablet.otzar.org/",CHAR(35),"/book/155283/p/-1/t/1/fs/0/start/0/end/0/c"),"ההלכה כוחה ותפקידה")</f>
        <v>ההלכה כוחה ותפקידה</v>
      </c>
      <c r="H159" t="str">
        <f>_xlfn.CONCAT("https://tablet.otzar.org/",CHAR(35),"/book/155283/p/-1/t/1/fs/0/start/0/end/0/c")</f>
        <v>https://tablet.otzar.org/#/book/155283/p/-1/t/1/fs/0/start/0/end/0/c</v>
      </c>
    </row>
    <row r="160" spans="1:8" x14ac:dyDescent="0.25">
      <c r="A160">
        <v>197644</v>
      </c>
      <c r="B160" t="s">
        <v>398</v>
      </c>
      <c r="C160" t="s">
        <v>399</v>
      </c>
      <c r="D160" t="s">
        <v>10</v>
      </c>
      <c r="E160" t="s">
        <v>65</v>
      </c>
      <c r="G160" t="str">
        <f>HYPERLINK(_xlfn.CONCAT("https://tablet.otzar.org/",CHAR(35),"/book/197644/p/-1/t/1/fs/0/start/0/end/0/c"),"ההר הטוב")</f>
        <v>ההר הטוב</v>
      </c>
      <c r="H160" t="str">
        <f>_xlfn.CONCAT("https://tablet.otzar.org/",CHAR(35),"/book/197644/p/-1/t/1/fs/0/start/0/end/0/c")</f>
        <v>https://tablet.otzar.org/#/book/197644/p/-1/t/1/fs/0/start/0/end/0/c</v>
      </c>
    </row>
    <row r="161" spans="1:8" x14ac:dyDescent="0.25">
      <c r="A161">
        <v>143520</v>
      </c>
      <c r="B161" t="s">
        <v>400</v>
      </c>
      <c r="C161" t="s">
        <v>152</v>
      </c>
      <c r="D161" t="s">
        <v>10</v>
      </c>
      <c r="E161" t="s">
        <v>22</v>
      </c>
      <c r="F161" t="s">
        <v>12</v>
      </c>
      <c r="G161" t="str">
        <f>HYPERLINK(_xlfn.CONCAT("https://tablet.otzar.org/",CHAR(35),"/book/143520/p/-1/t/1/fs/0/start/0/end/0/c"),"החוזה מלובלין")</f>
        <v>החוזה מלובלין</v>
      </c>
      <c r="H161" t="str">
        <f>_xlfn.CONCAT("https://tablet.otzar.org/",CHAR(35),"/book/143520/p/-1/t/1/fs/0/start/0/end/0/c")</f>
        <v>https://tablet.otzar.org/#/book/143520/p/-1/t/1/fs/0/start/0/end/0/c</v>
      </c>
    </row>
    <row r="162" spans="1:8" x14ac:dyDescent="0.25">
      <c r="A162">
        <v>156209</v>
      </c>
      <c r="B162" t="s">
        <v>401</v>
      </c>
      <c r="C162" t="s">
        <v>402</v>
      </c>
      <c r="D162" t="s">
        <v>10</v>
      </c>
      <c r="E162" t="s">
        <v>130</v>
      </c>
      <c r="F162" t="s">
        <v>23</v>
      </c>
      <c r="G162" t="str">
        <f>HYPERLINK(_xlfn.CONCAT("https://tablet.otzar.org/",CHAR(35),"/book/156209/p/-1/t/1/fs/0/start/0/end/0/c"),"החזקה במשפט העברי")</f>
        <v>החזקה במשפט העברי</v>
      </c>
      <c r="H162" t="str">
        <f>_xlfn.CONCAT("https://tablet.otzar.org/",CHAR(35),"/book/156209/p/-1/t/1/fs/0/start/0/end/0/c")</f>
        <v>https://tablet.otzar.org/#/book/156209/p/-1/t/1/fs/0/start/0/end/0/c</v>
      </c>
    </row>
    <row r="163" spans="1:8" x14ac:dyDescent="0.25">
      <c r="A163">
        <v>155562</v>
      </c>
      <c r="B163" t="s">
        <v>403</v>
      </c>
      <c r="C163" t="s">
        <v>404</v>
      </c>
      <c r="D163" t="s">
        <v>10</v>
      </c>
      <c r="E163" t="s">
        <v>405</v>
      </c>
      <c r="F163" t="s">
        <v>12</v>
      </c>
      <c r="G163" t="str">
        <f>HYPERLINK(_xlfn.CONCAT("https://tablet.otzar.org/",CHAR(35),"/book/155562/p/-1/t/1/fs/0/start/0/end/0/c"),"החתם סופר - חייו ויצירתו")</f>
        <v>החתם סופר - חייו ויצירתו</v>
      </c>
      <c r="H163" t="str">
        <f>_xlfn.CONCAT("https://tablet.otzar.org/",CHAR(35),"/book/155562/p/-1/t/1/fs/0/start/0/end/0/c")</f>
        <v>https://tablet.otzar.org/#/book/155562/p/-1/t/1/fs/0/start/0/end/0/c</v>
      </c>
    </row>
    <row r="164" spans="1:8" x14ac:dyDescent="0.25">
      <c r="A164">
        <v>157031</v>
      </c>
      <c r="B164" t="s">
        <v>406</v>
      </c>
      <c r="C164" t="s">
        <v>407</v>
      </c>
      <c r="D164" t="s">
        <v>10</v>
      </c>
      <c r="E164" t="s">
        <v>408</v>
      </c>
      <c r="G164" t="str">
        <f>HYPERLINK(_xlfn.CONCAT("https://tablet.otzar.org/",CHAR(35),"/book/157031/p/-1/t/1/fs/0/start/0/end/0/c"),"היהדות במאבקה")</f>
        <v>היהדות במאבקה</v>
      </c>
      <c r="H164" t="str">
        <f>_xlfn.CONCAT("https://tablet.otzar.org/",CHAR(35),"/book/157031/p/-1/t/1/fs/0/start/0/end/0/c")</f>
        <v>https://tablet.otzar.org/#/book/157031/p/-1/t/1/fs/0/start/0/end/0/c</v>
      </c>
    </row>
    <row r="165" spans="1:8" x14ac:dyDescent="0.25">
      <c r="A165">
        <v>157052</v>
      </c>
      <c r="B165" t="s">
        <v>409</v>
      </c>
      <c r="C165" t="s">
        <v>410</v>
      </c>
      <c r="D165" t="s">
        <v>10</v>
      </c>
      <c r="E165" t="s">
        <v>140</v>
      </c>
      <c r="F165" t="s">
        <v>411</v>
      </c>
      <c r="G165" t="str">
        <f>HYPERLINK(_xlfn.CONCAT("https://tablet.otzar.org/",CHAR(35),"/book/157052/p/-1/t/1/fs/0/start/0/end/0/c"),"הירושלמי המפורש - ברכות")</f>
        <v>הירושלמי המפורש - ברכות</v>
      </c>
      <c r="H165" t="str">
        <f>_xlfn.CONCAT("https://tablet.otzar.org/",CHAR(35),"/book/157052/p/-1/t/1/fs/0/start/0/end/0/c")</f>
        <v>https://tablet.otzar.org/#/book/157052/p/-1/t/1/fs/0/start/0/end/0/c</v>
      </c>
    </row>
    <row r="166" spans="1:8" x14ac:dyDescent="0.25">
      <c r="A166">
        <v>104971</v>
      </c>
      <c r="B166" t="s">
        <v>412</v>
      </c>
      <c r="C166" t="s">
        <v>413</v>
      </c>
      <c r="D166" t="s">
        <v>10</v>
      </c>
      <c r="E166" t="s">
        <v>11</v>
      </c>
      <c r="F166" t="s">
        <v>158</v>
      </c>
      <c r="G166" t="str">
        <f>HYPERLINK(_xlfn.CONCAT("https://tablet.otzar.org/",CHAR(35),"/book/104971/p/-1/t/1/fs/0/start/0/end/0/c"),"הכהנים ועבודתם")</f>
        <v>הכהנים ועבודתם</v>
      </c>
      <c r="H166" t="str">
        <f>_xlfn.CONCAT("https://tablet.otzar.org/",CHAR(35),"/book/104971/p/-1/t/1/fs/0/start/0/end/0/c")</f>
        <v>https://tablet.otzar.org/#/book/104971/p/-1/t/1/fs/0/start/0/end/0/c</v>
      </c>
    </row>
    <row r="167" spans="1:8" x14ac:dyDescent="0.25">
      <c r="A167">
        <v>155122</v>
      </c>
      <c r="B167" t="s">
        <v>414</v>
      </c>
      <c r="C167" t="s">
        <v>415</v>
      </c>
      <c r="D167" t="s">
        <v>10</v>
      </c>
      <c r="E167" t="s">
        <v>416</v>
      </c>
      <c r="F167" t="s">
        <v>55</v>
      </c>
      <c r="G167" t="str">
        <f>HYPERLINK(_xlfn.CONCAT("https://tablet.otzar.org/",CHAR(35),"/book/155122/p/-1/t/1/fs/0/start/0/end/0/c"),"הכוזרי השני מטה דן")</f>
        <v>הכוזרי השני מטה דן</v>
      </c>
      <c r="H167" t="str">
        <f>_xlfn.CONCAT("https://tablet.otzar.org/",CHAR(35),"/book/155122/p/-1/t/1/fs/0/start/0/end/0/c")</f>
        <v>https://tablet.otzar.org/#/book/155122/p/-1/t/1/fs/0/start/0/end/0/c</v>
      </c>
    </row>
    <row r="168" spans="1:8" x14ac:dyDescent="0.25">
      <c r="A168">
        <v>194423</v>
      </c>
      <c r="B168" t="s">
        <v>417</v>
      </c>
      <c r="C168" t="s">
        <v>418</v>
      </c>
      <c r="D168" t="s">
        <v>10</v>
      </c>
      <c r="E168" t="s">
        <v>65</v>
      </c>
      <c r="F168" t="s">
        <v>19</v>
      </c>
      <c r="G168" t="str">
        <f>HYPERLINK(_xlfn.CONCAT("https://tablet.otzar.org/",CHAR(35),"/exKotar/194423"),"הכתב והקבלה &lt;מוה""""ק&gt;  - 2 כרכים")</f>
        <v>הכתב והקבלה &lt;מוה""ק&gt;  - 2 כרכים</v>
      </c>
      <c r="H168" t="str">
        <f>_xlfn.CONCAT("https://tablet.otzar.org/",CHAR(35),"/exKotar/194423")</f>
        <v>https://tablet.otzar.org/#/exKotar/194423</v>
      </c>
    </row>
    <row r="169" spans="1:8" x14ac:dyDescent="0.25">
      <c r="A169">
        <v>157067</v>
      </c>
      <c r="B169" t="s">
        <v>419</v>
      </c>
      <c r="C169" t="s">
        <v>420</v>
      </c>
      <c r="D169" t="s">
        <v>10</v>
      </c>
      <c r="E169" t="s">
        <v>421</v>
      </c>
      <c r="G169" t="str">
        <f>HYPERLINK(_xlfn.CONCAT("https://tablet.otzar.org/",CHAR(35),"/book/157067/p/-1/t/1/fs/0/start/0/end/0/c"),"הליכות שבא")</f>
        <v>הליכות שבא</v>
      </c>
      <c r="H169" t="str">
        <f>_xlfn.CONCAT("https://tablet.otzar.org/",CHAR(35),"/book/157067/p/-1/t/1/fs/0/start/0/end/0/c")</f>
        <v>https://tablet.otzar.org/#/book/157067/p/-1/t/1/fs/0/start/0/end/0/c</v>
      </c>
    </row>
    <row r="170" spans="1:8" x14ac:dyDescent="0.25">
      <c r="A170">
        <v>170053</v>
      </c>
      <c r="B170" t="s">
        <v>422</v>
      </c>
      <c r="C170" t="s">
        <v>362</v>
      </c>
      <c r="D170" t="s">
        <v>10</v>
      </c>
      <c r="E170" t="s">
        <v>325</v>
      </c>
      <c r="F170" t="s">
        <v>262</v>
      </c>
      <c r="G170" t="str">
        <f>HYPERLINK(_xlfn.CONCAT("https://tablet.otzar.org/",CHAR(35),"/book/170053/p/-1/t/1/fs/0/start/0/end/0/c"),"הלכה ממקורה")</f>
        <v>הלכה ממקורה</v>
      </c>
      <c r="H170" t="str">
        <f>_xlfn.CONCAT("https://tablet.otzar.org/",CHAR(35),"/book/170053/p/-1/t/1/fs/0/start/0/end/0/c")</f>
        <v>https://tablet.otzar.org/#/book/170053/p/-1/t/1/fs/0/start/0/end/0/c</v>
      </c>
    </row>
    <row r="171" spans="1:8" x14ac:dyDescent="0.25">
      <c r="A171">
        <v>677782</v>
      </c>
      <c r="B171" t="s">
        <v>423</v>
      </c>
      <c r="C171" t="s">
        <v>424</v>
      </c>
      <c r="D171" t="s">
        <v>10</v>
      </c>
      <c r="E171" t="s">
        <v>338</v>
      </c>
      <c r="F171" t="s">
        <v>29</v>
      </c>
      <c r="G171" t="str">
        <f>HYPERLINK(_xlfn.CONCAT("https://tablet.otzar.org/",CHAR(35),"/exKotar/677782"),"הלכות גדולות &lt;מוה""""ק&gt; - 2 כרכים")</f>
        <v>הלכות גדולות &lt;מוה""ק&gt; - 2 כרכים</v>
      </c>
      <c r="H171" t="str">
        <f>_xlfn.CONCAT("https://tablet.otzar.org/",CHAR(35),"/exKotar/677782")</f>
        <v>https://tablet.otzar.org/#/exKotar/677782</v>
      </c>
    </row>
    <row r="172" spans="1:8" x14ac:dyDescent="0.25">
      <c r="A172">
        <v>158420</v>
      </c>
      <c r="B172" t="s">
        <v>425</v>
      </c>
      <c r="C172" t="s">
        <v>426</v>
      </c>
      <c r="D172" t="s">
        <v>10</v>
      </c>
      <c r="E172" t="s">
        <v>427</v>
      </c>
      <c r="F172" t="s">
        <v>85</v>
      </c>
      <c r="G172" t="str">
        <f>HYPERLINK(_xlfn.CONCAT("https://tablet.otzar.org/",CHAR(35),"/book/158420/p/-1/t/1/fs/0/start/0/end/0/c"),"הלכות והליכות")</f>
        <v>הלכות והליכות</v>
      </c>
      <c r="H172" t="str">
        <f>_xlfn.CONCAT("https://tablet.otzar.org/",CHAR(35),"/book/158420/p/-1/t/1/fs/0/start/0/end/0/c")</f>
        <v>https://tablet.otzar.org/#/book/158420/p/-1/t/1/fs/0/start/0/end/0/c</v>
      </c>
    </row>
    <row r="173" spans="1:8" x14ac:dyDescent="0.25">
      <c r="A173">
        <v>164116</v>
      </c>
      <c r="B173" t="s">
        <v>428</v>
      </c>
      <c r="C173" t="s">
        <v>429</v>
      </c>
      <c r="D173" t="s">
        <v>10</v>
      </c>
      <c r="E173" t="s">
        <v>84</v>
      </c>
      <c r="F173" t="s">
        <v>241</v>
      </c>
      <c r="G173" t="str">
        <f>HYPERLINK(_xlfn.CONCAT("https://tablet.otzar.org/",CHAR(35),"/book/164116/p/-1/t/1/fs/0/start/0/end/0/c"),"הלכות והליכות בחסידות")</f>
        <v>הלכות והליכות בחסידות</v>
      </c>
      <c r="H173" t="str">
        <f>_xlfn.CONCAT("https://tablet.otzar.org/",CHAR(35),"/book/164116/p/-1/t/1/fs/0/start/0/end/0/c")</f>
        <v>https://tablet.otzar.org/#/book/164116/p/-1/t/1/fs/0/start/0/end/0/c</v>
      </c>
    </row>
    <row r="174" spans="1:8" x14ac:dyDescent="0.25">
      <c r="A174">
        <v>606726</v>
      </c>
      <c r="B174" t="s">
        <v>430</v>
      </c>
      <c r="C174" t="s">
        <v>431</v>
      </c>
      <c r="D174" t="s">
        <v>10</v>
      </c>
      <c r="E174" t="s">
        <v>187</v>
      </c>
      <c r="F174" t="s">
        <v>85</v>
      </c>
      <c r="G174" t="str">
        <f>HYPERLINK(_xlfn.CONCAT("https://tablet.otzar.org/",CHAR(35),"/exKotar/606726"),"הלכות פסוקות השלם - 4 כרכים")</f>
        <v>הלכות פסוקות השלם - 4 כרכים</v>
      </c>
      <c r="H174" t="str">
        <f>_xlfn.CONCAT("https://tablet.otzar.org/",CHAR(35),"/exKotar/606726")</f>
        <v>https://tablet.otzar.org/#/exKotar/606726</v>
      </c>
    </row>
    <row r="175" spans="1:8" x14ac:dyDescent="0.25">
      <c r="A175">
        <v>180351</v>
      </c>
      <c r="B175" t="s">
        <v>432</v>
      </c>
      <c r="C175" t="s">
        <v>432</v>
      </c>
      <c r="D175" t="s">
        <v>10</v>
      </c>
      <c r="E175" t="s">
        <v>394</v>
      </c>
      <c r="F175" t="s">
        <v>85</v>
      </c>
      <c r="G175" t="str">
        <f>HYPERLINK(_xlfn.CONCAT("https://tablet.otzar.org/",CHAR(35),"/book/180351/p/-1/t/1/fs/0/start/0/end/0/c"),"הלכות פסוקות מן הגניזה")</f>
        <v>הלכות פסוקות מן הגניזה</v>
      </c>
      <c r="H175" t="str">
        <f>_xlfn.CONCAT("https://tablet.otzar.org/",CHAR(35),"/book/180351/p/-1/t/1/fs/0/start/0/end/0/c")</f>
        <v>https://tablet.otzar.org/#/book/180351/p/-1/t/1/fs/0/start/0/end/0/c</v>
      </c>
    </row>
    <row r="176" spans="1:8" x14ac:dyDescent="0.25">
      <c r="A176">
        <v>158969</v>
      </c>
      <c r="B176" t="s">
        <v>433</v>
      </c>
      <c r="C176" t="s">
        <v>434</v>
      </c>
      <c r="D176" t="s">
        <v>10</v>
      </c>
      <c r="E176" t="s">
        <v>120</v>
      </c>
      <c r="F176" t="s">
        <v>135</v>
      </c>
      <c r="G176" t="str">
        <f>HYPERLINK(_xlfn.CONCAT("https://tablet.otzar.org/",CHAR(35),"/book/158969/p/-1/t/1/fs/0/start/0/end/0/c"),"הלכות רב אלפס - מסכת עבודה זרה")</f>
        <v>הלכות רב אלפס - מסכת עבודה זרה</v>
      </c>
      <c r="H176" t="str">
        <f>_xlfn.CONCAT("https://tablet.otzar.org/",CHAR(35),"/book/158969/p/-1/t/1/fs/0/start/0/end/0/c")</f>
        <v>https://tablet.otzar.org/#/book/158969/p/-1/t/1/fs/0/start/0/end/0/c</v>
      </c>
    </row>
    <row r="177" spans="1:8" x14ac:dyDescent="0.25">
      <c r="A177">
        <v>156332</v>
      </c>
      <c r="B177" t="s">
        <v>435</v>
      </c>
      <c r="C177" t="s">
        <v>434</v>
      </c>
      <c r="D177" t="s">
        <v>10</v>
      </c>
      <c r="E177" t="s">
        <v>52</v>
      </c>
      <c r="F177" t="s">
        <v>85</v>
      </c>
      <c r="G177" t="str">
        <f>HYPERLINK(_xlfn.CONCAT("https://tablet.otzar.org/",CHAR(35),"/exKotar/156332"),"הלכות רב אלפס &lt;מוה""""ק&gt;  - 3 כרכים")</f>
        <v>הלכות רב אלפס &lt;מוה""ק&gt;  - 3 כרכים</v>
      </c>
      <c r="H177" t="str">
        <f>_xlfn.CONCAT("https://tablet.otzar.org/",CHAR(35),"/exKotar/156332")</f>
        <v>https://tablet.otzar.org/#/exKotar/156332</v>
      </c>
    </row>
    <row r="178" spans="1:8" x14ac:dyDescent="0.25">
      <c r="A178">
        <v>155121</v>
      </c>
      <c r="B178" t="s">
        <v>436</v>
      </c>
      <c r="C178" t="s">
        <v>437</v>
      </c>
      <c r="D178" t="s">
        <v>10</v>
      </c>
      <c r="E178" t="s">
        <v>126</v>
      </c>
      <c r="F178" t="s">
        <v>29</v>
      </c>
      <c r="G178" t="str">
        <f>HYPERLINK(_xlfn.CONCAT("https://tablet.otzar.org/",CHAR(35),"/book/155121/p/-1/t/1/fs/0/start/0/end/0/c"),"הלכות רופאים ורפואה")</f>
        <v>הלכות רופאים ורפואה</v>
      </c>
      <c r="H178" t="str">
        <f>_xlfn.CONCAT("https://tablet.otzar.org/",CHAR(35),"/book/155121/p/-1/t/1/fs/0/start/0/end/0/c")</f>
        <v>https://tablet.otzar.org/#/book/155121/p/-1/t/1/fs/0/start/0/end/0/c</v>
      </c>
    </row>
    <row r="179" spans="1:8" x14ac:dyDescent="0.25">
      <c r="A179">
        <v>180350</v>
      </c>
      <c r="B179" t="s">
        <v>438</v>
      </c>
      <c r="C179" t="s">
        <v>439</v>
      </c>
      <c r="D179" t="s">
        <v>10</v>
      </c>
      <c r="E179" t="s">
        <v>394</v>
      </c>
      <c r="F179" t="s">
        <v>85</v>
      </c>
      <c r="G179" t="str">
        <f>HYPERLINK(_xlfn.CONCAT("https://tablet.otzar.org/",CHAR(35),"/book/180350/p/-1/t/1/fs/0/start/0/end/0/c"),"הלכות תפילה")</f>
        <v>הלכות תפילה</v>
      </c>
      <c r="H179" t="str">
        <f>_xlfn.CONCAT("https://tablet.otzar.org/",CHAR(35),"/book/180350/p/-1/t/1/fs/0/start/0/end/0/c")</f>
        <v>https://tablet.otzar.org/#/book/180350/p/-1/t/1/fs/0/start/0/end/0/c</v>
      </c>
    </row>
    <row r="180" spans="1:8" x14ac:dyDescent="0.25">
      <c r="A180">
        <v>601569</v>
      </c>
      <c r="B180" t="s">
        <v>440</v>
      </c>
      <c r="C180" t="s">
        <v>441</v>
      </c>
      <c r="D180" t="s">
        <v>10</v>
      </c>
      <c r="E180" t="s">
        <v>187</v>
      </c>
      <c r="F180" t="s">
        <v>85</v>
      </c>
      <c r="G180" t="str">
        <f>HYPERLINK(_xlfn.CONCAT("https://tablet.otzar.org/",CHAR(35),"/book/601569/p/-1/t/1/fs/0/start/0/end/0/c"),"הלכות תשובה לרמב""""ם &lt;מוה""""ק&gt;")</f>
        <v>הלכות תשובה לרמב""ם &lt;מוה""ק&gt;</v>
      </c>
      <c r="H180" t="str">
        <f>_xlfn.CONCAT("https://tablet.otzar.org/",CHAR(35),"/book/601569/p/-1/t/1/fs/0/start/0/end/0/c")</f>
        <v>https://tablet.otzar.org/#/book/601569/p/-1/t/1/fs/0/start/0/end/0/c</v>
      </c>
    </row>
    <row r="181" spans="1:8" x14ac:dyDescent="0.25">
      <c r="A181">
        <v>158982</v>
      </c>
      <c r="B181" t="s">
        <v>442</v>
      </c>
      <c r="C181" t="s">
        <v>443</v>
      </c>
      <c r="D181" t="s">
        <v>10</v>
      </c>
      <c r="E181" t="s">
        <v>109</v>
      </c>
      <c r="F181" t="s">
        <v>23</v>
      </c>
      <c r="G181" t="str">
        <f>HYPERLINK(_xlfn.CONCAT("https://tablet.otzar.org/",CHAR(35),"/book/158982/p/-1/t/1/fs/0/start/0/end/0/c"),"הלשון העברית בישראל ובעמים")</f>
        <v>הלשון העברית בישראל ובעמים</v>
      </c>
      <c r="H181" t="str">
        <f>_xlfn.CONCAT("https://tablet.otzar.org/",CHAR(35),"/book/158982/p/-1/t/1/fs/0/start/0/end/0/c")</f>
        <v>https://tablet.otzar.org/#/book/158982/p/-1/t/1/fs/0/start/0/end/0/c</v>
      </c>
    </row>
    <row r="182" spans="1:8" x14ac:dyDescent="0.25">
      <c r="A182">
        <v>622913</v>
      </c>
      <c r="B182" t="s">
        <v>444</v>
      </c>
      <c r="C182" t="s">
        <v>350</v>
      </c>
      <c r="D182" t="s">
        <v>10</v>
      </c>
      <c r="E182" t="s">
        <v>43</v>
      </c>
      <c r="F182" t="s">
        <v>19</v>
      </c>
      <c r="G182" t="str">
        <f>HYPERLINK(_xlfn.CONCAT("https://tablet.otzar.org/",CHAR(35),"/book/622913/p/-1/t/1/fs/0/start/0/end/0/c"),"המדרש לאור השפת אמת הפרי צדיק והשם משמואל")</f>
        <v>המדרש לאור השפת אמת הפרי צדיק והשם משמואל</v>
      </c>
      <c r="H182" t="str">
        <f>_xlfn.CONCAT("https://tablet.otzar.org/",CHAR(35),"/book/622913/p/-1/t/1/fs/0/start/0/end/0/c")</f>
        <v>https://tablet.otzar.org/#/book/622913/p/-1/t/1/fs/0/start/0/end/0/c</v>
      </c>
    </row>
    <row r="183" spans="1:8" x14ac:dyDescent="0.25">
      <c r="A183">
        <v>155367</v>
      </c>
      <c r="B183" t="s">
        <v>445</v>
      </c>
      <c r="C183" t="s">
        <v>446</v>
      </c>
      <c r="D183" t="s">
        <v>10</v>
      </c>
      <c r="E183" t="s">
        <v>447</v>
      </c>
      <c r="F183" t="s">
        <v>12</v>
      </c>
      <c r="G183" t="str">
        <f>HYPERLINK(_xlfn.CONCAT("https://tablet.otzar.org/",CHAR(35),"/book/155367/p/-1/t/1/fs/0/start/0/end/0/c"),"המורה לדורות - רבינו משה בן מימון")</f>
        <v>המורה לדורות - רבינו משה בן מימון</v>
      </c>
      <c r="H183" t="str">
        <f>_xlfn.CONCAT("https://tablet.otzar.org/",CHAR(35),"/book/155367/p/-1/t/1/fs/0/start/0/end/0/c")</f>
        <v>https://tablet.otzar.org/#/book/155367/p/-1/t/1/fs/0/start/0/end/0/c</v>
      </c>
    </row>
    <row r="184" spans="1:8" x14ac:dyDescent="0.25">
      <c r="A184">
        <v>155140</v>
      </c>
      <c r="B184" t="s">
        <v>448</v>
      </c>
      <c r="C184" t="s">
        <v>449</v>
      </c>
      <c r="D184" t="s">
        <v>10</v>
      </c>
      <c r="E184" t="s">
        <v>347</v>
      </c>
      <c r="F184" t="s">
        <v>218</v>
      </c>
      <c r="G184" t="str">
        <f>HYPERLINK(_xlfn.CONCAT("https://tablet.otzar.org/",CHAR(35),"/exKotar/155140"),"המידות לחקר ההלכה - 2 כרכים")</f>
        <v>המידות לחקר ההלכה - 2 כרכים</v>
      </c>
      <c r="H184" t="str">
        <f>_xlfn.CONCAT("https://tablet.otzar.org/",CHAR(35),"/exKotar/155140")</f>
        <v>https://tablet.otzar.org/#/exKotar/155140</v>
      </c>
    </row>
    <row r="185" spans="1:8" x14ac:dyDescent="0.25">
      <c r="A185">
        <v>170021</v>
      </c>
      <c r="B185" t="s">
        <v>450</v>
      </c>
      <c r="C185" t="s">
        <v>451</v>
      </c>
      <c r="D185" t="s">
        <v>10</v>
      </c>
      <c r="E185" t="s">
        <v>325</v>
      </c>
      <c r="F185" t="s">
        <v>322</v>
      </c>
      <c r="G185" t="str">
        <f>HYPERLINK(_xlfn.CONCAT("https://tablet.otzar.org/",CHAR(35),"/book/170021/p/-1/t/1/fs/0/start/0/end/0/c"),"המית הלב")</f>
        <v>המית הלב</v>
      </c>
      <c r="H185" t="str">
        <f>_xlfn.CONCAT("https://tablet.otzar.org/",CHAR(35),"/book/170021/p/-1/t/1/fs/0/start/0/end/0/c")</f>
        <v>https://tablet.otzar.org/#/book/170021/p/-1/t/1/fs/0/start/0/end/0/c</v>
      </c>
    </row>
    <row r="186" spans="1:8" x14ac:dyDescent="0.25">
      <c r="A186">
        <v>156197</v>
      </c>
      <c r="B186" t="s">
        <v>452</v>
      </c>
      <c r="C186" t="s">
        <v>453</v>
      </c>
      <c r="D186" t="s">
        <v>10</v>
      </c>
      <c r="E186" t="s">
        <v>87</v>
      </c>
      <c r="F186" t="s">
        <v>12</v>
      </c>
      <c r="G186" t="str">
        <f>HYPERLINK(_xlfn.CONCAT("https://tablet.otzar.org/",CHAR(35),"/book/156197/p/-1/t/1/fs/0/start/0/end/0/c"),"המלבי""""ם")</f>
        <v>המלבי""ם</v>
      </c>
      <c r="H186" t="str">
        <f>_xlfn.CONCAT("https://tablet.otzar.org/",CHAR(35),"/book/156197/p/-1/t/1/fs/0/start/0/end/0/c")</f>
        <v>https://tablet.otzar.org/#/book/156197/p/-1/t/1/fs/0/start/0/end/0/c</v>
      </c>
    </row>
    <row r="187" spans="1:8" x14ac:dyDescent="0.25">
      <c r="A187">
        <v>155191</v>
      </c>
      <c r="B187" t="s">
        <v>454</v>
      </c>
      <c r="C187" t="s">
        <v>455</v>
      </c>
      <c r="D187" t="s">
        <v>10</v>
      </c>
      <c r="E187" t="s">
        <v>204</v>
      </c>
      <c r="F187" t="s">
        <v>55</v>
      </c>
      <c r="G187" t="str">
        <f>HYPERLINK(_xlfn.CONCAT("https://tablet.otzar.org/",CHAR(35),"/book/155191/p/-1/t/1/fs/0/start/0/end/0/c"),"הממדים. הנבואה. האדמתנות")</f>
        <v>הממדים. הנבואה. האדמתנות</v>
      </c>
      <c r="H187" t="str">
        <f>_xlfn.CONCAT("https://tablet.otzar.org/",CHAR(35),"/book/155191/p/-1/t/1/fs/0/start/0/end/0/c")</f>
        <v>https://tablet.otzar.org/#/book/155191/p/-1/t/1/fs/0/start/0/end/0/c</v>
      </c>
    </row>
    <row r="188" spans="1:8" x14ac:dyDescent="0.25">
      <c r="A188">
        <v>155582</v>
      </c>
      <c r="B188" t="s">
        <v>456</v>
      </c>
      <c r="C188" t="s">
        <v>31</v>
      </c>
      <c r="D188" t="s">
        <v>10</v>
      </c>
      <c r="E188" t="s">
        <v>58</v>
      </c>
      <c r="F188" t="s">
        <v>85</v>
      </c>
      <c r="G188" t="str">
        <f>HYPERLINK(_xlfn.CONCAT("https://tablet.otzar.org/",CHAR(35),"/book/155582/p/-1/t/1/fs/0/start/0/end/0/c"),"המצוות כסמלים")</f>
        <v>המצוות כסמלים</v>
      </c>
      <c r="H188" t="str">
        <f>_xlfn.CONCAT("https://tablet.otzar.org/",CHAR(35),"/book/155582/p/-1/t/1/fs/0/start/0/end/0/c")</f>
        <v>https://tablet.otzar.org/#/book/155582/p/-1/t/1/fs/0/start/0/end/0/c</v>
      </c>
    </row>
    <row r="189" spans="1:8" x14ac:dyDescent="0.25">
      <c r="A189">
        <v>155544</v>
      </c>
      <c r="B189" t="s">
        <v>457</v>
      </c>
      <c r="C189" t="s">
        <v>458</v>
      </c>
      <c r="D189" t="s">
        <v>10</v>
      </c>
      <c r="E189" t="s">
        <v>447</v>
      </c>
      <c r="F189" t="s">
        <v>85</v>
      </c>
      <c r="G189" t="str">
        <f>HYPERLINK(_xlfn.CONCAT("https://tablet.otzar.org/",CHAR(35),"/exKotar/155544"),"המצפה על הרמב""""ם - 3 כרכים")</f>
        <v>המצפה על הרמב""ם - 3 כרכים</v>
      </c>
      <c r="H189" t="str">
        <f>_xlfn.CONCAT("https://tablet.otzar.org/",CHAR(35),"/exKotar/155544")</f>
        <v>https://tablet.otzar.org/#/exKotar/155544</v>
      </c>
    </row>
    <row r="190" spans="1:8" x14ac:dyDescent="0.25">
      <c r="A190">
        <v>158976</v>
      </c>
      <c r="B190" t="s">
        <v>459</v>
      </c>
      <c r="C190" t="s">
        <v>460</v>
      </c>
      <c r="D190" t="s">
        <v>10</v>
      </c>
      <c r="E190" t="s">
        <v>36</v>
      </c>
      <c r="F190" t="s">
        <v>85</v>
      </c>
      <c r="G190" t="str">
        <f>HYPERLINK(_xlfn.CONCAT("https://tablet.otzar.org/",CHAR(35),"/book/158976/p/-1/t/1/fs/0/start/0/end/0/c"),"המקרא ברמב""""ם")</f>
        <v>המקרא ברמב""ם</v>
      </c>
      <c r="H190" t="str">
        <f>_xlfn.CONCAT("https://tablet.otzar.org/",CHAR(35),"/book/158976/p/-1/t/1/fs/0/start/0/end/0/c")</f>
        <v>https://tablet.otzar.org/#/book/158976/p/-1/t/1/fs/0/start/0/end/0/c</v>
      </c>
    </row>
    <row r="191" spans="1:8" x14ac:dyDescent="0.25">
      <c r="A191">
        <v>155132</v>
      </c>
      <c r="B191" t="s">
        <v>461</v>
      </c>
      <c r="C191" t="s">
        <v>462</v>
      </c>
      <c r="D191" t="s">
        <v>10</v>
      </c>
      <c r="E191" t="s">
        <v>383</v>
      </c>
      <c r="F191" t="s">
        <v>463</v>
      </c>
      <c r="G191" t="str">
        <f>HYPERLINK(_xlfn.CONCAT("https://tablet.otzar.org/",CHAR(35),"/book/155132/p/-1/t/1/fs/0/start/0/end/0/c"),"המקרא והמסורה")</f>
        <v>המקרא והמסורה</v>
      </c>
      <c r="H191" t="str">
        <f>_xlfn.CONCAT("https://tablet.otzar.org/",CHAR(35),"/book/155132/p/-1/t/1/fs/0/start/0/end/0/c")</f>
        <v>https://tablet.otzar.org/#/book/155132/p/-1/t/1/fs/0/start/0/end/0/c</v>
      </c>
    </row>
    <row r="192" spans="1:8" x14ac:dyDescent="0.25">
      <c r="A192">
        <v>156307</v>
      </c>
      <c r="B192" t="s">
        <v>464</v>
      </c>
      <c r="C192" t="s">
        <v>465</v>
      </c>
      <c r="D192" t="s">
        <v>10</v>
      </c>
      <c r="E192" t="s">
        <v>52</v>
      </c>
      <c r="F192" t="s">
        <v>23</v>
      </c>
      <c r="G192" t="str">
        <f>HYPERLINK(_xlfn.CONCAT("https://tablet.otzar.org/",CHAR(35),"/book/156307/p/-1/t/1/fs/0/start/0/end/0/c"),"המשפט העברי ומדינת ישראל")</f>
        <v>המשפט העברי ומדינת ישראל</v>
      </c>
      <c r="H192" t="str">
        <f>_xlfn.CONCAT("https://tablet.otzar.org/",CHAR(35),"/book/156307/p/-1/t/1/fs/0/start/0/end/0/c")</f>
        <v>https://tablet.otzar.org/#/book/156307/p/-1/t/1/fs/0/start/0/end/0/c</v>
      </c>
    </row>
    <row r="193" spans="1:8" x14ac:dyDescent="0.25">
      <c r="A193">
        <v>157333</v>
      </c>
      <c r="B193" t="s">
        <v>466</v>
      </c>
      <c r="C193" t="s">
        <v>385</v>
      </c>
      <c r="D193" t="s">
        <v>10</v>
      </c>
      <c r="E193" t="s">
        <v>227</v>
      </c>
      <c r="F193" t="s">
        <v>12</v>
      </c>
      <c r="G193" t="str">
        <f>HYPERLINK(_xlfn.CONCAT("https://tablet.otzar.org/",CHAR(35),"/book/157333/p/-1/t/1/fs/0/start/0/end/0/c"),"הסכמה ורשות בדפוסי ויניציאה")</f>
        <v>הסכמה ורשות בדפוסי ויניציאה</v>
      </c>
      <c r="H193" t="str">
        <f>_xlfn.CONCAT("https://tablet.otzar.org/",CHAR(35),"/book/157333/p/-1/t/1/fs/0/start/0/end/0/c")</f>
        <v>https://tablet.otzar.org/#/book/157333/p/-1/t/1/fs/0/start/0/end/0/c</v>
      </c>
    </row>
    <row r="194" spans="1:8" x14ac:dyDescent="0.25">
      <c r="A194">
        <v>156242</v>
      </c>
      <c r="B194" t="s">
        <v>467</v>
      </c>
      <c r="C194" t="s">
        <v>468</v>
      </c>
      <c r="D194" t="s">
        <v>10</v>
      </c>
      <c r="E194" t="s">
        <v>204</v>
      </c>
      <c r="F194" t="s">
        <v>12</v>
      </c>
      <c r="G194" t="str">
        <f>HYPERLINK(_xlfn.CONCAT("https://tablet.otzar.org/",CHAR(35),"/book/156242/p/-1/t/1/fs/0/start/0/end/0/c"),"הסנהדרין")</f>
        <v>הסנהדרין</v>
      </c>
      <c r="H194" t="str">
        <f>_xlfn.CONCAT("https://tablet.otzar.org/",CHAR(35),"/book/156242/p/-1/t/1/fs/0/start/0/end/0/c")</f>
        <v>https://tablet.otzar.org/#/book/156242/p/-1/t/1/fs/0/start/0/end/0/c</v>
      </c>
    </row>
    <row r="195" spans="1:8" x14ac:dyDescent="0.25">
      <c r="A195">
        <v>155524</v>
      </c>
      <c r="B195" t="s">
        <v>469</v>
      </c>
      <c r="C195" t="s">
        <v>470</v>
      </c>
      <c r="D195" t="s">
        <v>10</v>
      </c>
      <c r="E195" t="s">
        <v>471</v>
      </c>
      <c r="F195" t="s">
        <v>55</v>
      </c>
      <c r="G195" t="str">
        <f>HYPERLINK(_xlfn.CONCAT("https://tablet.otzar.org/",CHAR(35),"/book/155524/p/-1/t/1/fs/0/start/0/end/0/c"),"הסניגוריה במשנת הרב קוק")</f>
        <v>הסניגוריה במשנת הרב קוק</v>
      </c>
      <c r="H195" t="str">
        <f>_xlfn.CONCAT("https://tablet.otzar.org/",CHAR(35),"/book/155524/p/-1/t/1/fs/0/start/0/end/0/c")</f>
        <v>https://tablet.otzar.org/#/book/155524/p/-1/t/1/fs/0/start/0/end/0/c</v>
      </c>
    </row>
    <row r="196" spans="1:8" x14ac:dyDescent="0.25">
      <c r="A196">
        <v>155244</v>
      </c>
      <c r="B196" t="s">
        <v>472</v>
      </c>
      <c r="C196" t="s">
        <v>473</v>
      </c>
      <c r="D196" t="s">
        <v>10</v>
      </c>
      <c r="E196" t="s">
        <v>46</v>
      </c>
      <c r="F196" t="s">
        <v>97</v>
      </c>
      <c r="G196" t="str">
        <f>HYPERLINK(_xlfn.CONCAT("https://tablet.otzar.org/",CHAR(35),"/exKotar/155244"),"הספר - 2 כרכים")</f>
        <v>הספר - 2 כרכים</v>
      </c>
      <c r="H196" t="str">
        <f>_xlfn.CONCAT("https://tablet.otzar.org/",CHAR(35),"/exKotar/155244")</f>
        <v>https://tablet.otzar.org/#/exKotar/155244</v>
      </c>
    </row>
    <row r="197" spans="1:8" x14ac:dyDescent="0.25">
      <c r="A197">
        <v>157019</v>
      </c>
      <c r="B197" t="s">
        <v>474</v>
      </c>
      <c r="C197" t="s">
        <v>475</v>
      </c>
      <c r="D197" t="s">
        <v>10</v>
      </c>
      <c r="E197" t="s">
        <v>471</v>
      </c>
      <c r="F197" t="s">
        <v>218</v>
      </c>
      <c r="G197" t="str">
        <f>HYPERLINK(_xlfn.CONCAT("https://tablet.otzar.org/",CHAR(35),"/book/157019/p/-1/t/1/fs/0/start/0/end/0/c"),"הערוך &lt;יקר הערך&gt; - שבת")</f>
        <v>הערוך &lt;יקר הערך&gt; - שבת</v>
      </c>
      <c r="H197" t="str">
        <f>_xlfn.CONCAT("https://tablet.otzar.org/",CHAR(35),"/book/157019/p/-1/t/1/fs/0/start/0/end/0/c")</f>
        <v>https://tablet.otzar.org/#/book/157019/p/-1/t/1/fs/0/start/0/end/0/c</v>
      </c>
    </row>
    <row r="198" spans="1:8" x14ac:dyDescent="0.25">
      <c r="A198">
        <v>677792</v>
      </c>
      <c r="B198" t="s">
        <v>476</v>
      </c>
      <c r="C198" t="s">
        <v>115</v>
      </c>
      <c r="D198" t="s">
        <v>477</v>
      </c>
      <c r="E198" t="s">
        <v>215</v>
      </c>
      <c r="F198" t="s">
        <v>55</v>
      </c>
      <c r="G198" t="str">
        <f>HYPERLINK(_xlfn.CONCAT("https://tablet.otzar.org/",CHAR(35),"/book/677792/p/-1/t/1/fs/0/start/0/end/0/c"),"הפרשנות הרעיונית לתורה")</f>
        <v>הפרשנות הרעיונית לתורה</v>
      </c>
      <c r="H198" t="str">
        <f>_xlfn.CONCAT("https://tablet.otzar.org/",CHAR(35),"/book/677792/p/-1/t/1/fs/0/start/0/end/0/c")</f>
        <v>https://tablet.otzar.org/#/book/677792/p/-1/t/1/fs/0/start/0/end/0/c</v>
      </c>
    </row>
    <row r="199" spans="1:8" x14ac:dyDescent="0.25">
      <c r="A199">
        <v>157000</v>
      </c>
      <c r="B199" t="s">
        <v>478</v>
      </c>
      <c r="C199" t="s">
        <v>479</v>
      </c>
      <c r="D199" t="s">
        <v>10</v>
      </c>
      <c r="E199" t="s">
        <v>388</v>
      </c>
      <c r="F199" t="s">
        <v>97</v>
      </c>
      <c r="G199" t="str">
        <f>HYPERLINK(_xlfn.CONCAT("https://tablet.otzar.org/",CHAR(35),"/book/157000/p/-1/t/1/fs/0/start/0/end/0/c"),"הקהל")</f>
        <v>הקהל</v>
      </c>
      <c r="H199" t="str">
        <f>_xlfn.CONCAT("https://tablet.otzar.org/",CHAR(35),"/book/157000/p/-1/t/1/fs/0/start/0/end/0/c")</f>
        <v>https://tablet.otzar.org/#/book/157000/p/-1/t/1/fs/0/start/0/end/0/c</v>
      </c>
    </row>
    <row r="200" spans="1:8" x14ac:dyDescent="0.25">
      <c r="A200">
        <v>684653</v>
      </c>
      <c r="B200" t="s">
        <v>480</v>
      </c>
      <c r="C200" t="s">
        <v>481</v>
      </c>
      <c r="E200" t="s">
        <v>62</v>
      </c>
      <c r="F200" t="s">
        <v>33</v>
      </c>
      <c r="G200" t="str">
        <f>HYPERLINK(_xlfn.CONCAT("https://tablet.otzar.org/",CHAR(35),"/book/684653/p/-1/t/1/fs/0/start/0/end/0/c"),"הקיבוץ הטהור והנבחר בארץ ישראל")</f>
        <v>הקיבוץ הטהור והנבחר בארץ ישראל</v>
      </c>
      <c r="H200" t="str">
        <f>_xlfn.CONCAT("https://tablet.otzar.org/",CHAR(35),"/book/684653/p/-1/t/1/fs/0/start/0/end/0/c")</f>
        <v>https://tablet.otzar.org/#/book/684653/p/-1/t/1/fs/0/start/0/end/0/c</v>
      </c>
    </row>
    <row r="201" spans="1:8" x14ac:dyDescent="0.25">
      <c r="A201">
        <v>647305</v>
      </c>
      <c r="B201" t="s">
        <v>482</v>
      </c>
      <c r="C201" t="s">
        <v>115</v>
      </c>
      <c r="D201" t="s">
        <v>10</v>
      </c>
      <c r="E201" t="s">
        <v>49</v>
      </c>
      <c r="F201" t="s">
        <v>483</v>
      </c>
      <c r="G201" t="str">
        <f>HYPERLINK(_xlfn.CONCAT("https://tablet.otzar.org/",CHAR(35),"/book/647305/p/-1/t/1/fs/0/start/0/end/0/c"),"הקינות לאור המדרש")</f>
        <v>הקינות לאור המדרש</v>
      </c>
      <c r="H201" t="str">
        <f>_xlfn.CONCAT("https://tablet.otzar.org/",CHAR(35),"/book/647305/p/-1/t/1/fs/0/start/0/end/0/c")</f>
        <v>https://tablet.otzar.org/#/book/647305/p/-1/t/1/fs/0/start/0/end/0/c</v>
      </c>
    </row>
    <row r="202" spans="1:8" x14ac:dyDescent="0.25">
      <c r="A202">
        <v>155177</v>
      </c>
      <c r="B202" t="s">
        <v>484</v>
      </c>
      <c r="C202" t="s">
        <v>485</v>
      </c>
      <c r="D202" t="s">
        <v>10</v>
      </c>
      <c r="E202" t="s">
        <v>153</v>
      </c>
      <c r="F202" t="s">
        <v>12</v>
      </c>
      <c r="G202" t="str">
        <f>HYPERLINK(_xlfn.CONCAT("https://tablet.otzar.org/",CHAR(35),"/book/155177/p/-1/t/1/fs/0/start/0/end/0/c"),"הרא""""ש - רבנו אשר ב""""ר יחיאל וצאצאיו")</f>
        <v>הרא""ש - רבנו אשר ב""ר יחיאל וצאצאיו</v>
      </c>
      <c r="H202" t="str">
        <f>_xlfn.CONCAT("https://tablet.otzar.org/",CHAR(35),"/book/155177/p/-1/t/1/fs/0/start/0/end/0/c")</f>
        <v>https://tablet.otzar.org/#/book/155177/p/-1/t/1/fs/0/start/0/end/0/c</v>
      </c>
    </row>
    <row r="203" spans="1:8" x14ac:dyDescent="0.25">
      <c r="A203">
        <v>155170</v>
      </c>
      <c r="B203" t="s">
        <v>486</v>
      </c>
      <c r="C203" t="s">
        <v>14</v>
      </c>
      <c r="D203" t="s">
        <v>10</v>
      </c>
      <c r="E203" t="s">
        <v>54</v>
      </c>
      <c r="F203" t="s">
        <v>12</v>
      </c>
      <c r="G203" t="str">
        <f>HYPERLINK(_xlfn.CONCAT("https://tablet.otzar.org/",CHAR(35),"/book/155170/p/-1/t/1/fs/0/start/0/end/0/c"),"הראי""""ה")</f>
        <v>הראי""ה</v>
      </c>
      <c r="H203" t="str">
        <f>_xlfn.CONCAT("https://tablet.otzar.org/",CHAR(35),"/book/155170/p/-1/t/1/fs/0/start/0/end/0/c")</f>
        <v>https://tablet.otzar.org/#/book/155170/p/-1/t/1/fs/0/start/0/end/0/c</v>
      </c>
    </row>
    <row r="204" spans="1:8" x14ac:dyDescent="0.25">
      <c r="A204">
        <v>157022</v>
      </c>
      <c r="B204" t="s">
        <v>486</v>
      </c>
      <c r="C204" t="s">
        <v>487</v>
      </c>
      <c r="D204" t="s">
        <v>10</v>
      </c>
      <c r="E204" t="s">
        <v>11</v>
      </c>
      <c r="G204" t="str">
        <f>HYPERLINK(_xlfn.CONCAT("https://tablet.otzar.org/",CHAR(35),"/book/157022/p/-1/t/1/fs/0/start/0/end/0/c"),"הראי""""ה")</f>
        <v>הראי""ה</v>
      </c>
      <c r="H204" t="str">
        <f>_xlfn.CONCAT("https://tablet.otzar.org/",CHAR(35),"/book/157022/p/-1/t/1/fs/0/start/0/end/0/c")</f>
        <v>https://tablet.otzar.org/#/book/157022/p/-1/t/1/fs/0/start/0/end/0/c</v>
      </c>
    </row>
    <row r="205" spans="1:8" x14ac:dyDescent="0.25">
      <c r="A205">
        <v>156310</v>
      </c>
      <c r="B205" t="s">
        <v>488</v>
      </c>
      <c r="C205" t="s">
        <v>111</v>
      </c>
      <c r="D205" t="s">
        <v>10</v>
      </c>
      <c r="E205" t="s">
        <v>25</v>
      </c>
      <c r="F205" t="s">
        <v>12</v>
      </c>
      <c r="G205" t="str">
        <f>HYPERLINK(_xlfn.CONCAT("https://tablet.otzar.org/",CHAR(35),"/book/156310/p/-1/t/1/fs/0/start/0/end/0/c"),"הרב מימון בדורותיו")</f>
        <v>הרב מימון בדורותיו</v>
      </c>
      <c r="H205" t="str">
        <f>_xlfn.CONCAT("https://tablet.otzar.org/",CHAR(35),"/book/156310/p/-1/t/1/fs/0/start/0/end/0/c")</f>
        <v>https://tablet.otzar.org/#/book/156310/p/-1/t/1/fs/0/start/0/end/0/c</v>
      </c>
    </row>
    <row r="206" spans="1:8" x14ac:dyDescent="0.25">
      <c r="A206">
        <v>180347</v>
      </c>
      <c r="B206" t="s">
        <v>489</v>
      </c>
      <c r="C206" t="s">
        <v>152</v>
      </c>
      <c r="D206" t="s">
        <v>10</v>
      </c>
      <c r="E206" t="s">
        <v>72</v>
      </c>
      <c r="F206" t="s">
        <v>12</v>
      </c>
      <c r="G206" t="str">
        <f>HYPERLINK(_xlfn.CONCAT("https://tablet.otzar.org/",CHAR(35),"/book/180347/p/-1/t/1/fs/0/start/0/end/0/c"),"הרבי מקוצק")</f>
        <v>הרבי מקוצק</v>
      </c>
      <c r="H206" t="str">
        <f>_xlfn.CONCAT("https://tablet.otzar.org/",CHAR(35),"/book/180347/p/-1/t/1/fs/0/start/0/end/0/c")</f>
        <v>https://tablet.otzar.org/#/book/180347/p/-1/t/1/fs/0/start/0/end/0/c</v>
      </c>
    </row>
    <row r="207" spans="1:8" x14ac:dyDescent="0.25">
      <c r="A207">
        <v>158974</v>
      </c>
      <c r="B207" t="s">
        <v>490</v>
      </c>
      <c r="C207" t="s">
        <v>491</v>
      </c>
      <c r="D207" t="s">
        <v>10</v>
      </c>
      <c r="E207" t="s">
        <v>180</v>
      </c>
      <c r="F207" t="s">
        <v>12</v>
      </c>
      <c r="G207" t="str">
        <f>HYPERLINK(_xlfn.CONCAT("https://tablet.otzar.org/",CHAR(35),"/book/158974/p/-1/t/1/fs/0/start/0/end/0/c"),"הרמ""""א")</f>
        <v>הרמ""א</v>
      </c>
      <c r="H207" t="str">
        <f>_xlfn.CONCAT("https://tablet.otzar.org/",CHAR(35),"/book/158974/p/-1/t/1/fs/0/start/0/end/0/c")</f>
        <v>https://tablet.otzar.org/#/book/158974/p/-1/t/1/fs/0/start/0/end/0/c</v>
      </c>
    </row>
    <row r="208" spans="1:8" x14ac:dyDescent="0.25">
      <c r="A208">
        <v>155304</v>
      </c>
      <c r="B208" t="s">
        <v>492</v>
      </c>
      <c r="C208" t="s">
        <v>163</v>
      </c>
      <c r="D208" t="s">
        <v>10</v>
      </c>
      <c r="E208" t="s">
        <v>84</v>
      </c>
      <c r="F208" t="s">
        <v>397</v>
      </c>
      <c r="G208" t="str">
        <f>HYPERLINK(_xlfn.CONCAT("https://tablet.otzar.org/",CHAR(35),"/book/155304/p/-1/t/1/fs/0/start/0/end/0/c"),"הרמב""""ם ללא סטיה מן התלמוד")</f>
        <v>הרמב""ם ללא סטיה מן התלמוד</v>
      </c>
      <c r="H208" t="str">
        <f>_xlfn.CONCAT("https://tablet.otzar.org/",CHAR(35),"/book/155304/p/-1/t/1/fs/0/start/0/end/0/c")</f>
        <v>https://tablet.otzar.org/#/book/155304/p/-1/t/1/fs/0/start/0/end/0/c</v>
      </c>
    </row>
    <row r="209" spans="1:8" x14ac:dyDescent="0.25">
      <c r="A209">
        <v>12633</v>
      </c>
      <c r="B209" t="s">
        <v>493</v>
      </c>
      <c r="C209" t="s">
        <v>494</v>
      </c>
      <c r="D209" t="s">
        <v>10</v>
      </c>
      <c r="E209" t="s">
        <v>11</v>
      </c>
      <c r="F209" t="s">
        <v>23</v>
      </c>
      <c r="G209" t="str">
        <f>HYPERLINK(_xlfn.CONCAT("https://tablet.otzar.org/",CHAR(35),"/book/12633/p/-1/t/1/fs/0/start/0/end/0/c"),"הרפואה והיהדות")</f>
        <v>הרפואה והיהדות</v>
      </c>
      <c r="H209" t="str">
        <f>_xlfn.CONCAT("https://tablet.otzar.org/",CHAR(35),"/book/12633/p/-1/t/1/fs/0/start/0/end/0/c")</f>
        <v>https://tablet.otzar.org/#/book/12633/p/-1/t/1/fs/0/start/0/end/0/c</v>
      </c>
    </row>
    <row r="210" spans="1:8" x14ac:dyDescent="0.25">
      <c r="A210">
        <v>156290</v>
      </c>
      <c r="B210" t="s">
        <v>495</v>
      </c>
      <c r="C210" t="s">
        <v>496</v>
      </c>
      <c r="D210" t="s">
        <v>10</v>
      </c>
      <c r="E210" t="s">
        <v>15</v>
      </c>
      <c r="F210" t="s">
        <v>23</v>
      </c>
      <c r="G210" t="str">
        <f>HYPERLINK(_xlfn.CONCAT("https://tablet.otzar.org/",CHAR(35),"/book/156290/p/-1/t/1/fs/0/start/0/end/0/c"),"הרצאות על כתבי יד עבריים")</f>
        <v>הרצאות על כתבי יד עבריים</v>
      </c>
      <c r="H210" t="str">
        <f>_xlfn.CONCAT("https://tablet.otzar.org/",CHAR(35),"/book/156290/p/-1/t/1/fs/0/start/0/end/0/c")</f>
        <v>https://tablet.otzar.org/#/book/156290/p/-1/t/1/fs/0/start/0/end/0/c</v>
      </c>
    </row>
    <row r="211" spans="1:8" x14ac:dyDescent="0.25">
      <c r="A211">
        <v>638035</v>
      </c>
      <c r="B211" t="s">
        <v>497</v>
      </c>
      <c r="C211" t="s">
        <v>498</v>
      </c>
      <c r="D211" t="s">
        <v>10</v>
      </c>
      <c r="E211" t="s">
        <v>116</v>
      </c>
      <c r="G211" t="str">
        <f>HYPERLINK(_xlfn.CONCAT("https://tablet.otzar.org/",CHAR(35),"/book/638035/p/-1/t/1/fs/0/start/0/end/0/c"),"השומר גופי אנכי")</f>
        <v>השומר גופי אנכי</v>
      </c>
      <c r="H211" t="str">
        <f>_xlfn.CONCAT("https://tablet.otzar.org/",CHAR(35),"/book/638035/p/-1/t/1/fs/0/start/0/end/0/c")</f>
        <v>https://tablet.otzar.org/#/book/638035/p/-1/t/1/fs/0/start/0/end/0/c</v>
      </c>
    </row>
    <row r="212" spans="1:8" x14ac:dyDescent="0.25">
      <c r="A212">
        <v>155264</v>
      </c>
      <c r="B212" t="s">
        <v>499</v>
      </c>
      <c r="C212" t="s">
        <v>174</v>
      </c>
      <c r="D212" t="s">
        <v>10</v>
      </c>
      <c r="E212" t="s">
        <v>92</v>
      </c>
      <c r="F212" t="s">
        <v>85</v>
      </c>
      <c r="G212" t="str">
        <f>HYPERLINK(_xlfn.CONCAT("https://tablet.otzar.org/",CHAR(35),"/exKotar/155264"),"התקנות בישראל - 4 כרכים")</f>
        <v>התקנות בישראל - 4 כרכים</v>
      </c>
      <c r="H212" t="str">
        <f>_xlfn.CONCAT("https://tablet.otzar.org/",CHAR(35),"/exKotar/155264")</f>
        <v>https://tablet.otzar.org/#/exKotar/155264</v>
      </c>
    </row>
    <row r="213" spans="1:8" x14ac:dyDescent="0.25">
      <c r="A213">
        <v>622885</v>
      </c>
      <c r="B213" t="s">
        <v>500</v>
      </c>
      <c r="C213" t="s">
        <v>501</v>
      </c>
      <c r="D213" t="s">
        <v>10</v>
      </c>
      <c r="E213" t="s">
        <v>43</v>
      </c>
      <c r="F213" t="s">
        <v>23</v>
      </c>
      <c r="G213" t="str">
        <f>HYPERLINK(_xlfn.CONCAT("https://tablet.otzar.org/",CHAR(35),"/book/622885/p/-1/t/1/fs/0/start/0/end/0/c"),"ופקדת נוך")</f>
        <v>ופקדת נוך</v>
      </c>
      <c r="H213" t="str">
        <f>_xlfn.CONCAT("https://tablet.otzar.org/",CHAR(35),"/book/622885/p/-1/t/1/fs/0/start/0/end/0/c")</f>
        <v>https://tablet.otzar.org/#/book/622885/p/-1/t/1/fs/0/start/0/end/0/c</v>
      </c>
    </row>
    <row r="214" spans="1:8" x14ac:dyDescent="0.25">
      <c r="A214">
        <v>154973</v>
      </c>
      <c r="B214" t="s">
        <v>502</v>
      </c>
      <c r="C214" t="s">
        <v>21</v>
      </c>
      <c r="D214" t="s">
        <v>10</v>
      </c>
      <c r="E214" t="s">
        <v>80</v>
      </c>
      <c r="F214" t="s">
        <v>218</v>
      </c>
      <c r="G214" t="str">
        <f>HYPERLINK(_xlfn.CONCAT("https://tablet.otzar.org/",CHAR(35),"/book/154973/p/-1/t/1/fs/0/start/0/end/0/c"),"זבחי ראיה")</f>
        <v>זבחי ראיה</v>
      </c>
      <c r="H214" t="str">
        <f>_xlfn.CONCAT("https://tablet.otzar.org/",CHAR(35),"/book/154973/p/-1/t/1/fs/0/start/0/end/0/c")</f>
        <v>https://tablet.otzar.org/#/book/154973/p/-1/t/1/fs/0/start/0/end/0/c</v>
      </c>
    </row>
    <row r="215" spans="1:8" x14ac:dyDescent="0.25">
      <c r="A215">
        <v>180349</v>
      </c>
      <c r="B215" t="s">
        <v>503</v>
      </c>
      <c r="C215" t="s">
        <v>504</v>
      </c>
      <c r="D215" t="s">
        <v>10</v>
      </c>
      <c r="E215" t="s">
        <v>394</v>
      </c>
      <c r="F215" t="s">
        <v>23</v>
      </c>
      <c r="G215" t="str">
        <f>HYPERLINK(_xlfn.CONCAT("https://tablet.otzar.org/",CHAR(35),"/book/180349/p/-1/t/1/fs/0/start/0/end/0/c"),"זה היום עשה ה'")</f>
        <v>זה היום עשה ה'</v>
      </c>
      <c r="H215" t="str">
        <f>_xlfn.CONCAT("https://tablet.otzar.org/",CHAR(35),"/book/180349/p/-1/t/1/fs/0/start/0/end/0/c")</f>
        <v>https://tablet.otzar.org/#/book/180349/p/-1/t/1/fs/0/start/0/end/0/c</v>
      </c>
    </row>
    <row r="216" spans="1:8" x14ac:dyDescent="0.25">
      <c r="A216">
        <v>155104</v>
      </c>
      <c r="B216" t="s">
        <v>505</v>
      </c>
      <c r="C216" t="s">
        <v>506</v>
      </c>
      <c r="D216" t="s">
        <v>10</v>
      </c>
      <c r="E216" t="s">
        <v>46</v>
      </c>
      <c r="F216" t="s">
        <v>507</v>
      </c>
      <c r="G216" t="str">
        <f>HYPERLINK(_xlfn.CONCAT("https://tablet.otzar.org/",CHAR(35),"/book/155104/p/-1/t/1/fs/0/start/0/end/0/c"),"זהר חדש עם ניצוצי זהר")</f>
        <v>זהר חדש עם ניצוצי זהר</v>
      </c>
      <c r="H216" t="str">
        <f>_xlfn.CONCAT("https://tablet.otzar.org/",CHAR(35),"/book/155104/p/-1/t/1/fs/0/start/0/end/0/c")</f>
        <v>https://tablet.otzar.org/#/book/155104/p/-1/t/1/fs/0/start/0/end/0/c</v>
      </c>
    </row>
    <row r="217" spans="1:8" x14ac:dyDescent="0.25">
      <c r="A217">
        <v>156997</v>
      </c>
      <c r="B217" t="s">
        <v>508</v>
      </c>
      <c r="C217" t="s">
        <v>509</v>
      </c>
      <c r="D217" t="s">
        <v>10</v>
      </c>
      <c r="E217" t="s">
        <v>54</v>
      </c>
      <c r="F217" t="s">
        <v>97</v>
      </c>
      <c r="G217" t="str">
        <f>HYPERLINK(_xlfn.CONCAT("https://tablet.otzar.org/",CHAR(35),"/book/156997/p/-1/t/1/fs/0/start/0/end/0/c"),"זכר מרדכי")</f>
        <v>זכר מרדכי</v>
      </c>
      <c r="H217" t="str">
        <f>_xlfn.CONCAT("https://tablet.otzar.org/",CHAR(35),"/book/156997/p/-1/t/1/fs/0/start/0/end/0/c")</f>
        <v>https://tablet.otzar.org/#/book/156997/p/-1/t/1/fs/0/start/0/end/0/c</v>
      </c>
    </row>
    <row r="218" spans="1:8" x14ac:dyDescent="0.25">
      <c r="A218">
        <v>157012</v>
      </c>
      <c r="B218" t="s">
        <v>510</v>
      </c>
      <c r="C218" t="s">
        <v>511</v>
      </c>
      <c r="D218" t="s">
        <v>10</v>
      </c>
      <c r="E218" t="s">
        <v>204</v>
      </c>
      <c r="G218" t="str">
        <f>HYPERLINK(_xlfn.CONCAT("https://tablet.otzar.org/",CHAR(35),"/book/157012/p/-1/t/1/fs/0/start/0/end/0/c"),"זכרון יעקב")</f>
        <v>זכרון יעקב</v>
      </c>
      <c r="H218" t="str">
        <f>_xlfn.CONCAT("https://tablet.otzar.org/",CHAR(35),"/book/157012/p/-1/t/1/fs/0/start/0/end/0/c")</f>
        <v>https://tablet.otzar.org/#/book/157012/p/-1/t/1/fs/0/start/0/end/0/c</v>
      </c>
    </row>
    <row r="219" spans="1:8" x14ac:dyDescent="0.25">
      <c r="A219">
        <v>156320</v>
      </c>
      <c r="B219" t="s">
        <v>512</v>
      </c>
      <c r="C219" t="s">
        <v>513</v>
      </c>
      <c r="D219" t="s">
        <v>10</v>
      </c>
      <c r="E219" t="s">
        <v>388</v>
      </c>
      <c r="F219" t="s">
        <v>59</v>
      </c>
      <c r="G219" t="str">
        <f>HYPERLINK(_xlfn.CONCAT("https://tablet.otzar.org/",CHAR(35),"/book/156320/p/-1/t/1/fs/0/start/0/end/0/c"),"זכרון צבי")</f>
        <v>זכרון צבי</v>
      </c>
      <c r="H219" t="str">
        <f>_xlfn.CONCAT("https://tablet.otzar.org/",CHAR(35),"/book/156320/p/-1/t/1/fs/0/start/0/end/0/c")</f>
        <v>https://tablet.otzar.org/#/book/156320/p/-1/t/1/fs/0/start/0/end/0/c</v>
      </c>
    </row>
    <row r="220" spans="1:8" x14ac:dyDescent="0.25">
      <c r="A220">
        <v>157380</v>
      </c>
      <c r="B220" t="s">
        <v>514</v>
      </c>
      <c r="C220" t="s">
        <v>21</v>
      </c>
      <c r="D220" t="s">
        <v>10</v>
      </c>
      <c r="E220" t="s">
        <v>153</v>
      </c>
      <c r="F220" t="s">
        <v>23</v>
      </c>
      <c r="G220" t="str">
        <f>HYPERLINK(_xlfn.CONCAT("https://tablet.otzar.org/",CHAR(35),"/book/157380/p/-1/t/1/fs/0/start/0/end/0/c"),"זכרון ראי""""ה")</f>
        <v>זכרון ראי""ה</v>
      </c>
      <c r="H220" t="str">
        <f>_xlfn.CONCAT("https://tablet.otzar.org/",CHAR(35),"/book/157380/p/-1/t/1/fs/0/start/0/end/0/c")</f>
        <v>https://tablet.otzar.org/#/book/157380/p/-1/t/1/fs/0/start/0/end/0/c</v>
      </c>
    </row>
    <row r="221" spans="1:8" x14ac:dyDescent="0.25">
      <c r="A221">
        <v>155241</v>
      </c>
      <c r="B221" t="s">
        <v>515</v>
      </c>
      <c r="C221" t="s">
        <v>516</v>
      </c>
      <c r="D221" t="s">
        <v>10</v>
      </c>
      <c r="E221" t="s">
        <v>347</v>
      </c>
      <c r="F221" t="s">
        <v>23</v>
      </c>
      <c r="G221" t="str">
        <f>HYPERLINK(_xlfn.CONCAT("https://tablet.otzar.org/",CHAR(35),"/exKotar/155241"),"זמרת יהודה - 2 כרכים")</f>
        <v>זמרת יהודה - 2 כרכים</v>
      </c>
      <c r="H221" t="str">
        <f>_xlfn.CONCAT("https://tablet.otzar.org/",CHAR(35),"/exKotar/155241")</f>
        <v>https://tablet.otzar.org/#/exKotar/155241</v>
      </c>
    </row>
    <row r="222" spans="1:8" x14ac:dyDescent="0.25">
      <c r="A222">
        <v>154988</v>
      </c>
      <c r="B222" t="s">
        <v>517</v>
      </c>
      <c r="C222" t="s">
        <v>21</v>
      </c>
      <c r="D222" t="s">
        <v>10</v>
      </c>
      <c r="E222" t="s">
        <v>80</v>
      </c>
      <c r="F222" t="s">
        <v>85</v>
      </c>
      <c r="G222" t="str">
        <f>HYPERLINK(_xlfn.CONCAT("https://tablet.otzar.org/",CHAR(35),"/book/154988/p/-1/t/1/fs/0/start/0/end/0/c"),"חבש פאר")</f>
        <v>חבש פאר</v>
      </c>
      <c r="H222" t="str">
        <f>_xlfn.CONCAT("https://tablet.otzar.org/",CHAR(35),"/book/154988/p/-1/t/1/fs/0/start/0/end/0/c")</f>
        <v>https://tablet.otzar.org/#/book/154988/p/-1/t/1/fs/0/start/0/end/0/c</v>
      </c>
    </row>
    <row r="223" spans="1:8" x14ac:dyDescent="0.25">
      <c r="A223">
        <v>622916</v>
      </c>
      <c r="B223" t="s">
        <v>518</v>
      </c>
      <c r="C223" t="s">
        <v>364</v>
      </c>
      <c r="D223" t="s">
        <v>10</v>
      </c>
      <c r="E223" t="s">
        <v>43</v>
      </c>
      <c r="F223" t="s">
        <v>19</v>
      </c>
      <c r="G223" t="str">
        <f>HYPERLINK(_xlfn.CONCAT("https://tablet.otzar.org/",CHAR(35),"/exKotar/622916"),"חומש עם ביאור כל אתין שבתורה - 2 כרכים")</f>
        <v>חומש עם ביאור כל אתין שבתורה - 2 כרכים</v>
      </c>
      <c r="H223" t="str">
        <f>_xlfn.CONCAT("https://tablet.otzar.org/",CHAR(35),"/exKotar/622916")</f>
        <v>https://tablet.otzar.org/#/exKotar/622916</v>
      </c>
    </row>
    <row r="224" spans="1:8" x14ac:dyDescent="0.25">
      <c r="A224">
        <v>638172</v>
      </c>
      <c r="B224" t="s">
        <v>519</v>
      </c>
      <c r="C224" t="s">
        <v>520</v>
      </c>
      <c r="D224" t="s">
        <v>10</v>
      </c>
      <c r="E224" t="s">
        <v>116</v>
      </c>
      <c r="F224" t="s">
        <v>19</v>
      </c>
      <c r="G224" t="str">
        <f>HYPERLINK(_xlfn.CONCAT("https://tablet.otzar.org/",CHAR(35),"/exKotar/638172"),"חומש רמב""""ן ע""""פ אור לעינים - 7 כרכים")</f>
        <v>חומש רמב""ן ע""פ אור לעינים - 7 כרכים</v>
      </c>
      <c r="H224" t="str">
        <f>_xlfn.CONCAT("https://tablet.otzar.org/",CHAR(35),"/exKotar/638172")</f>
        <v>https://tablet.otzar.org/#/exKotar/638172</v>
      </c>
    </row>
    <row r="225" spans="1:8" x14ac:dyDescent="0.25">
      <c r="A225">
        <v>155366</v>
      </c>
      <c r="B225" t="s">
        <v>521</v>
      </c>
      <c r="C225" t="s">
        <v>522</v>
      </c>
      <c r="D225" t="s">
        <v>10</v>
      </c>
      <c r="E225" t="s">
        <v>359</v>
      </c>
      <c r="F225" t="s">
        <v>507</v>
      </c>
      <c r="G225" t="str">
        <f>HYPERLINK(_xlfn.CONCAT("https://tablet.otzar.org/",CHAR(35),"/book/155366/p/-1/t/1/fs/0/start/0/end/0/c"),"חוקת עולם ורזי עולם")</f>
        <v>חוקת עולם ורזי עולם</v>
      </c>
      <c r="H225" t="str">
        <f>_xlfn.CONCAT("https://tablet.otzar.org/",CHAR(35),"/book/155366/p/-1/t/1/fs/0/start/0/end/0/c")</f>
        <v>https://tablet.otzar.org/#/book/155366/p/-1/t/1/fs/0/start/0/end/0/c</v>
      </c>
    </row>
    <row r="226" spans="1:8" x14ac:dyDescent="0.25">
      <c r="A226">
        <v>156298</v>
      </c>
      <c r="B226" t="s">
        <v>523</v>
      </c>
      <c r="C226" t="s">
        <v>524</v>
      </c>
      <c r="D226" t="s">
        <v>10</v>
      </c>
      <c r="E226" t="s">
        <v>227</v>
      </c>
      <c r="F226" t="s">
        <v>12</v>
      </c>
      <c r="G226" t="str">
        <f>HYPERLINK(_xlfn.CONCAT("https://tablet.otzar.org/",CHAR(35),"/book/156298/p/-1/t/1/fs/0/start/0/end/0/c"),"חזון ההתנחלות בגליל")</f>
        <v>חזון ההתנחלות בגליל</v>
      </c>
      <c r="H226" t="str">
        <f>_xlfn.CONCAT("https://tablet.otzar.org/",CHAR(35),"/book/156298/p/-1/t/1/fs/0/start/0/end/0/c")</f>
        <v>https://tablet.otzar.org/#/book/156298/p/-1/t/1/fs/0/start/0/end/0/c</v>
      </c>
    </row>
    <row r="227" spans="1:8" x14ac:dyDescent="0.25">
      <c r="A227">
        <v>157068</v>
      </c>
      <c r="B227" t="s">
        <v>525</v>
      </c>
      <c r="C227" t="s">
        <v>526</v>
      </c>
      <c r="D227" t="s">
        <v>10</v>
      </c>
      <c r="E227" t="s">
        <v>408</v>
      </c>
      <c r="G227" t="str">
        <f>HYPERLINK(_xlfn.CONCAT("https://tablet.otzar.org/",CHAR(35),"/book/157068/p/-1/t/1/fs/0/start/0/end/0/c"),"חזון והגשמה")</f>
        <v>חזון והגשמה</v>
      </c>
      <c r="H227" t="str">
        <f>_xlfn.CONCAT("https://tablet.otzar.org/",CHAR(35),"/book/157068/p/-1/t/1/fs/0/start/0/end/0/c")</f>
        <v>https://tablet.otzar.org/#/book/157068/p/-1/t/1/fs/0/start/0/end/0/c</v>
      </c>
    </row>
    <row r="228" spans="1:8" x14ac:dyDescent="0.25">
      <c r="A228">
        <v>157051</v>
      </c>
      <c r="B228" t="s">
        <v>527</v>
      </c>
      <c r="C228" t="s">
        <v>443</v>
      </c>
      <c r="D228" t="s">
        <v>10</v>
      </c>
      <c r="E228" t="s">
        <v>281</v>
      </c>
      <c r="G228" t="str">
        <f>HYPERLINK(_xlfn.CONCAT("https://tablet.otzar.org/",CHAR(35),"/book/157051/p/-1/t/1/fs/0/start/0/end/0/c"),"חזון תורה וציון")</f>
        <v>חזון תורה וציון</v>
      </c>
      <c r="H228" t="str">
        <f>_xlfn.CONCAT("https://tablet.otzar.org/",CHAR(35),"/book/157051/p/-1/t/1/fs/0/start/0/end/0/c")</f>
        <v>https://tablet.otzar.org/#/book/157051/p/-1/t/1/fs/0/start/0/end/0/c</v>
      </c>
    </row>
    <row r="229" spans="1:8" x14ac:dyDescent="0.25">
      <c r="A229">
        <v>155093</v>
      </c>
      <c r="B229" t="s">
        <v>528</v>
      </c>
      <c r="C229" t="s">
        <v>529</v>
      </c>
      <c r="D229" t="s">
        <v>10</v>
      </c>
      <c r="E229" t="s">
        <v>104</v>
      </c>
      <c r="F229" t="s">
        <v>19</v>
      </c>
      <c r="G229" t="str">
        <f>HYPERLINK(_xlfn.CONCAT("https://tablet.otzar.org/",CHAR(35),"/book/155093/p/-1/t/1/fs/0/start/0/end/0/c"),"חזקוני &lt;מוה""""ק&gt;")</f>
        <v>חזקוני &lt;מוה""ק&gt;</v>
      </c>
      <c r="H229" t="str">
        <f>_xlfn.CONCAT("https://tablet.otzar.org/",CHAR(35),"/book/155093/p/-1/t/1/fs/0/start/0/end/0/c")</f>
        <v>https://tablet.otzar.org/#/book/155093/p/-1/t/1/fs/0/start/0/end/0/c</v>
      </c>
    </row>
    <row r="230" spans="1:8" x14ac:dyDescent="0.25">
      <c r="A230">
        <v>622949</v>
      </c>
      <c r="B230" t="s">
        <v>530</v>
      </c>
      <c r="C230" t="s">
        <v>222</v>
      </c>
      <c r="D230" t="s">
        <v>10</v>
      </c>
      <c r="E230" t="s">
        <v>43</v>
      </c>
      <c r="F230" t="s">
        <v>55</v>
      </c>
      <c r="G230" t="str">
        <f>HYPERLINK(_xlfn.CONCAT("https://tablet.otzar.org/",CHAR(35),"/book/622949/p/-1/t/1/fs/0/start/0/end/0/c"),"חיבור התשובה &lt;מוסד הרב קוק&gt;")</f>
        <v>חיבור התשובה &lt;מוסד הרב קוק&gt;</v>
      </c>
      <c r="H230" t="str">
        <f>_xlfn.CONCAT("https://tablet.otzar.org/",CHAR(35),"/book/622949/p/-1/t/1/fs/0/start/0/end/0/c")</f>
        <v>https://tablet.otzar.org/#/book/622949/p/-1/t/1/fs/0/start/0/end/0/c</v>
      </c>
    </row>
    <row r="231" spans="1:8" x14ac:dyDescent="0.25">
      <c r="A231">
        <v>157338</v>
      </c>
      <c r="B231" t="s">
        <v>531</v>
      </c>
      <c r="C231" t="s">
        <v>532</v>
      </c>
      <c r="D231" t="s">
        <v>10</v>
      </c>
      <c r="E231" t="s">
        <v>533</v>
      </c>
      <c r="F231" t="s">
        <v>23</v>
      </c>
      <c r="G231" t="str">
        <f>HYPERLINK(_xlfn.CONCAT("https://tablet.otzar.org/",CHAR(35),"/book/157338/p/-1/t/1/fs/0/start/0/end/0/c"),"חיבור יפה מהישועה")</f>
        <v>חיבור יפה מהישועה</v>
      </c>
      <c r="H231" t="str">
        <f>_xlfn.CONCAT("https://tablet.otzar.org/",CHAR(35),"/book/157338/p/-1/t/1/fs/0/start/0/end/0/c")</f>
        <v>https://tablet.otzar.org/#/book/157338/p/-1/t/1/fs/0/start/0/end/0/c</v>
      </c>
    </row>
    <row r="232" spans="1:8" x14ac:dyDescent="0.25">
      <c r="A232">
        <v>199617</v>
      </c>
      <c r="B232" t="s">
        <v>534</v>
      </c>
      <c r="C232" t="s">
        <v>535</v>
      </c>
      <c r="D232" t="s">
        <v>10</v>
      </c>
      <c r="E232" t="s">
        <v>394</v>
      </c>
      <c r="F232" t="s">
        <v>85</v>
      </c>
      <c r="G232" t="str">
        <f>HYPERLINK(_xlfn.CONCAT("https://tablet.otzar.org/",CHAR(35),"/book/199617/p/-1/t/1/fs/0/start/0/end/0/c"),"חידושי הגר""""מ והגרי""""ד")</f>
        <v>חידושי הגר""מ והגרי""ד</v>
      </c>
      <c r="H232" t="str">
        <f>_xlfn.CONCAT("https://tablet.otzar.org/",CHAR(35),"/book/199617/p/-1/t/1/fs/0/start/0/end/0/c")</f>
        <v>https://tablet.otzar.org/#/book/199617/p/-1/t/1/fs/0/start/0/end/0/c</v>
      </c>
    </row>
    <row r="233" spans="1:8" x14ac:dyDescent="0.25">
      <c r="A233">
        <v>155137</v>
      </c>
      <c r="B233" t="s">
        <v>536</v>
      </c>
      <c r="C233" t="s">
        <v>537</v>
      </c>
      <c r="D233" t="s">
        <v>10</v>
      </c>
      <c r="E233" t="s">
        <v>87</v>
      </c>
      <c r="F233" t="s">
        <v>218</v>
      </c>
      <c r="G233" t="str">
        <f>HYPERLINK(_xlfn.CONCAT("https://tablet.otzar.org/",CHAR(35),"/exKotar/155137"),"חידושי המאירי על מסכת  עירובין - 3 כרכים")</f>
        <v>חידושי המאירי על מסכת  עירובין - 3 כרכים</v>
      </c>
      <c r="H233" t="str">
        <f>_xlfn.CONCAT("https://tablet.otzar.org/",CHAR(35),"/exKotar/155137")</f>
        <v>https://tablet.otzar.org/#/exKotar/155137</v>
      </c>
    </row>
    <row r="234" spans="1:8" x14ac:dyDescent="0.25">
      <c r="A234">
        <v>154745</v>
      </c>
      <c r="B234" t="s">
        <v>538</v>
      </c>
      <c r="C234" t="s">
        <v>539</v>
      </c>
      <c r="D234" t="s">
        <v>10</v>
      </c>
      <c r="E234" t="s">
        <v>347</v>
      </c>
      <c r="F234" t="s">
        <v>218</v>
      </c>
      <c r="G234" t="str">
        <f>HYPERLINK(_xlfn.CONCAT("https://tablet.otzar.org/",CHAR(35),"/exKotar/154745"),"חידושי הר""""ן &lt;מוה""""ק&gt;  - 11 כרכים")</f>
        <v>חידושי הר""ן &lt;מוה""ק&gt;  - 11 כרכים</v>
      </c>
      <c r="H234" t="str">
        <f>_xlfn.CONCAT("https://tablet.otzar.org/",CHAR(35),"/exKotar/154745")</f>
        <v>https://tablet.otzar.org/#/exKotar/154745</v>
      </c>
    </row>
    <row r="235" spans="1:8" x14ac:dyDescent="0.25">
      <c r="A235">
        <v>154965</v>
      </c>
      <c r="B235" t="s">
        <v>540</v>
      </c>
      <c r="C235" t="s">
        <v>541</v>
      </c>
      <c r="D235" t="s">
        <v>10</v>
      </c>
      <c r="E235" t="s">
        <v>447</v>
      </c>
      <c r="F235" t="s">
        <v>218</v>
      </c>
      <c r="G235" t="str">
        <f>HYPERLINK(_xlfn.CONCAT("https://tablet.otzar.org/",CHAR(35),"/exKotar/154965"),"חידושי הריטב""""א &lt;מוה""""ק&gt;  - 26 כרכים")</f>
        <v>חידושי הריטב""א &lt;מוה""ק&gt;  - 26 כרכים</v>
      </c>
      <c r="H235" t="str">
        <f>_xlfn.CONCAT("https://tablet.otzar.org/",CHAR(35),"/exKotar/154965")</f>
        <v>https://tablet.otzar.org/#/exKotar/154965</v>
      </c>
    </row>
    <row r="236" spans="1:8" x14ac:dyDescent="0.25">
      <c r="A236">
        <v>157387</v>
      </c>
      <c r="B236" t="s">
        <v>542</v>
      </c>
      <c r="C236" t="s">
        <v>543</v>
      </c>
      <c r="D236" t="s">
        <v>10</v>
      </c>
      <c r="E236" t="s">
        <v>104</v>
      </c>
      <c r="F236" t="s">
        <v>544</v>
      </c>
      <c r="G236" t="str">
        <f>HYPERLINK(_xlfn.CONCAT("https://tablet.otzar.org/",CHAR(35),"/exKotar/157387"),"חידושי הריצ""""ד - 4 כרכים")</f>
        <v>חידושי הריצ""ד - 4 כרכים</v>
      </c>
      <c r="H236" t="str">
        <f>_xlfn.CONCAT("https://tablet.otzar.org/",CHAR(35),"/exKotar/157387")</f>
        <v>https://tablet.otzar.org/#/exKotar/157387</v>
      </c>
    </row>
    <row r="237" spans="1:8" x14ac:dyDescent="0.25">
      <c r="A237">
        <v>688803</v>
      </c>
      <c r="B237" t="s">
        <v>545</v>
      </c>
      <c r="C237" t="s">
        <v>546</v>
      </c>
      <c r="D237" t="s">
        <v>10</v>
      </c>
      <c r="E237" t="s">
        <v>338</v>
      </c>
      <c r="F237" t="s">
        <v>218</v>
      </c>
      <c r="G237" t="str">
        <f>HYPERLINK(_xlfn.CONCAT("https://tablet.otzar.org/",CHAR(35),"/exKotar/688803"),"חידושי הרמב""""ן &lt;מוה""""ק&gt; - 2 כרכים")</f>
        <v>חידושי הרמב""ן &lt;מוה""ק&gt; - 2 כרכים</v>
      </c>
      <c r="H237" t="str">
        <f>_xlfn.CONCAT("https://tablet.otzar.org/",CHAR(35),"/exKotar/688803")</f>
        <v>https://tablet.otzar.org/#/exKotar/688803</v>
      </c>
    </row>
    <row r="238" spans="1:8" x14ac:dyDescent="0.25">
      <c r="A238">
        <v>162843</v>
      </c>
      <c r="B238" t="s">
        <v>547</v>
      </c>
      <c r="C238" t="s">
        <v>548</v>
      </c>
      <c r="D238" t="s">
        <v>10</v>
      </c>
      <c r="E238" t="s">
        <v>11</v>
      </c>
      <c r="F238" t="s">
        <v>218</v>
      </c>
      <c r="G238" t="str">
        <f>HYPERLINK(_xlfn.CONCAT("https://tablet.otzar.org/",CHAR(35),"/exKotar/162843"),"חידושי הרשב""""א &lt;מוה""""ק&gt;   - 21 כרכים")</f>
        <v>חידושי הרשב""א &lt;מוה""ק&gt;   - 21 כרכים</v>
      </c>
      <c r="H238" t="str">
        <f>_xlfn.CONCAT("https://tablet.otzar.org/",CHAR(35),"/exKotar/162843")</f>
        <v>https://tablet.otzar.org/#/exKotar/162843</v>
      </c>
    </row>
    <row r="239" spans="1:8" x14ac:dyDescent="0.25">
      <c r="A239">
        <v>647283</v>
      </c>
      <c r="B239" t="s">
        <v>549</v>
      </c>
      <c r="C239" t="s">
        <v>61</v>
      </c>
      <c r="D239" t="s">
        <v>10</v>
      </c>
      <c r="E239" t="s">
        <v>49</v>
      </c>
      <c r="F239" t="s">
        <v>218</v>
      </c>
      <c r="G239" t="str">
        <f>HYPERLINK(_xlfn.CONCAT("https://tablet.otzar.org/",CHAR(35),"/exKotar/647283"),"חידושי וביאורי הגר""""א על הש""""ס - 6 כרכים")</f>
        <v>חידושי וביאורי הגר""א על הש""ס - 6 כרכים</v>
      </c>
      <c r="H239" t="str">
        <f>_xlfn.CONCAT("https://tablet.otzar.org/",CHAR(35),"/exKotar/647283")</f>
        <v>https://tablet.otzar.org/#/exKotar/647283</v>
      </c>
    </row>
    <row r="240" spans="1:8" x14ac:dyDescent="0.25">
      <c r="A240">
        <v>158411</v>
      </c>
      <c r="B240" t="s">
        <v>550</v>
      </c>
      <c r="C240" t="s">
        <v>14</v>
      </c>
      <c r="D240" t="s">
        <v>10</v>
      </c>
      <c r="E240" t="s">
        <v>551</v>
      </c>
      <c r="F240" t="s">
        <v>12</v>
      </c>
      <c r="G240" t="str">
        <f>HYPERLINK(_xlfn.CONCAT("https://tablet.otzar.org/",CHAR(35),"/book/158411/p/-1/t/1/fs/0/start/0/end/0/c"),"חיי הרמב""""ם")</f>
        <v>חיי הרמב""ם</v>
      </c>
      <c r="H240" t="str">
        <f>_xlfn.CONCAT("https://tablet.otzar.org/",CHAR(35),"/book/158411/p/-1/t/1/fs/0/start/0/end/0/c")</f>
        <v>https://tablet.otzar.org/#/book/158411/p/-1/t/1/fs/0/start/0/end/0/c</v>
      </c>
    </row>
    <row r="241" spans="1:8" x14ac:dyDescent="0.25">
      <c r="A241">
        <v>157358</v>
      </c>
      <c r="B241" t="s">
        <v>552</v>
      </c>
      <c r="C241" t="s">
        <v>553</v>
      </c>
      <c r="D241" t="s">
        <v>10</v>
      </c>
      <c r="E241" t="s">
        <v>427</v>
      </c>
      <c r="F241" t="s">
        <v>23</v>
      </c>
      <c r="G241" t="str">
        <f>HYPERLINK(_xlfn.CONCAT("https://tablet.otzar.org/",CHAR(35),"/book/157358/p/-1/t/1/fs/0/start/0/end/0/c"),"חינוך והוראה")</f>
        <v>חינוך והוראה</v>
      </c>
      <c r="H241" t="str">
        <f>_xlfn.CONCAT("https://tablet.otzar.org/",CHAR(35),"/book/157358/p/-1/t/1/fs/0/start/0/end/0/c")</f>
        <v>https://tablet.otzar.org/#/book/157358/p/-1/t/1/fs/0/start/0/end/0/c</v>
      </c>
    </row>
    <row r="242" spans="1:8" x14ac:dyDescent="0.25">
      <c r="A242">
        <v>169983</v>
      </c>
      <c r="B242" t="s">
        <v>554</v>
      </c>
      <c r="C242" t="s">
        <v>261</v>
      </c>
      <c r="D242" t="s">
        <v>10</v>
      </c>
      <c r="E242" t="s">
        <v>325</v>
      </c>
      <c r="F242" t="s">
        <v>55</v>
      </c>
      <c r="G242" t="str">
        <f>HYPERLINK(_xlfn.CONCAT("https://tablet.otzar.org/",CHAR(35),"/book/169983/p/-1/t/1/fs/0/start/0/end/0/c"),"חכמה פנימית וחכמה חיצונית")</f>
        <v>חכמה פנימית וחכמה חיצונית</v>
      </c>
      <c r="H242" t="str">
        <f>_xlfn.CONCAT("https://tablet.otzar.org/",CHAR(35),"/book/169983/p/-1/t/1/fs/0/start/0/end/0/c")</f>
        <v>https://tablet.otzar.org/#/book/169983/p/-1/t/1/fs/0/start/0/end/0/c</v>
      </c>
    </row>
    <row r="243" spans="1:8" x14ac:dyDescent="0.25">
      <c r="A243">
        <v>156390</v>
      </c>
      <c r="B243" t="s">
        <v>555</v>
      </c>
      <c r="C243" t="s">
        <v>556</v>
      </c>
      <c r="D243" t="s">
        <v>10</v>
      </c>
      <c r="E243" t="s">
        <v>557</v>
      </c>
      <c r="F243" t="s">
        <v>158</v>
      </c>
      <c r="G243" t="str">
        <f>HYPERLINK(_xlfn.CONCAT("https://tablet.otzar.org/",CHAR(35),"/book/156390/p/-1/t/1/fs/0/start/0/end/0/c"),"חכמי התלמוד - א")</f>
        <v>חכמי התלמוד - א</v>
      </c>
      <c r="H243" t="str">
        <f>_xlfn.CONCAT("https://tablet.otzar.org/",CHAR(35),"/book/156390/p/-1/t/1/fs/0/start/0/end/0/c")</f>
        <v>https://tablet.otzar.org/#/book/156390/p/-1/t/1/fs/0/start/0/end/0/c</v>
      </c>
    </row>
    <row r="244" spans="1:8" x14ac:dyDescent="0.25">
      <c r="A244">
        <v>156233</v>
      </c>
      <c r="B244" t="s">
        <v>558</v>
      </c>
      <c r="C244" t="s">
        <v>559</v>
      </c>
      <c r="D244" t="s">
        <v>10</v>
      </c>
      <c r="E244" t="s">
        <v>244</v>
      </c>
      <c r="F244" t="s">
        <v>158</v>
      </c>
      <c r="G244" t="str">
        <f>HYPERLINK(_xlfn.CONCAT("https://tablet.otzar.org/",CHAR(35),"/book/156233/p/-1/t/1/fs/0/start/0/end/0/c"),"חכמי ישראל כרופאים")</f>
        <v>חכמי ישראל כרופאים</v>
      </c>
      <c r="H244" t="str">
        <f>_xlfn.CONCAT("https://tablet.otzar.org/",CHAR(35),"/book/156233/p/-1/t/1/fs/0/start/0/end/0/c")</f>
        <v>https://tablet.otzar.org/#/book/156233/p/-1/t/1/fs/0/start/0/end/0/c</v>
      </c>
    </row>
    <row r="245" spans="1:8" x14ac:dyDescent="0.25">
      <c r="A245">
        <v>155227</v>
      </c>
      <c r="B245" t="s">
        <v>560</v>
      </c>
      <c r="C245" t="s">
        <v>561</v>
      </c>
      <c r="D245" t="s">
        <v>10</v>
      </c>
      <c r="E245" t="s">
        <v>18</v>
      </c>
      <c r="F245" t="s">
        <v>218</v>
      </c>
      <c r="G245" t="str">
        <f>HYPERLINK(_xlfn.CONCAT("https://tablet.otzar.org/",CHAR(35),"/book/155227/p/-1/t/1/fs/0/start/0/end/0/c"),"חכמת בצלאל פתחי נדה")</f>
        <v>חכמת בצלאל פתחי נדה</v>
      </c>
      <c r="H245" t="str">
        <f>_xlfn.CONCAT("https://tablet.otzar.org/",CHAR(35),"/book/155227/p/-1/t/1/fs/0/start/0/end/0/c")</f>
        <v>https://tablet.otzar.org/#/book/155227/p/-1/t/1/fs/0/start/0/end/0/c</v>
      </c>
    </row>
    <row r="246" spans="1:8" x14ac:dyDescent="0.25">
      <c r="A246">
        <v>155358</v>
      </c>
      <c r="B246" t="s">
        <v>562</v>
      </c>
      <c r="C246" t="s">
        <v>563</v>
      </c>
      <c r="D246" t="s">
        <v>10</v>
      </c>
      <c r="E246" t="s">
        <v>84</v>
      </c>
      <c r="F246" t="s">
        <v>23</v>
      </c>
      <c r="G246" t="str">
        <f>HYPERLINK(_xlfn.CONCAT("https://tablet.otzar.org/",CHAR(35),"/book/155358/p/-1/t/1/fs/0/start/0/end/0/c"),"חכמת התשבורת - המתמטיקה באספקלריה יהודית")</f>
        <v>חכמת התשבורת - המתמטיקה באספקלריה יהודית</v>
      </c>
      <c r="H246" t="str">
        <f>_xlfn.CONCAT("https://tablet.otzar.org/",CHAR(35),"/book/155358/p/-1/t/1/fs/0/start/0/end/0/c")</f>
        <v>https://tablet.otzar.org/#/book/155358/p/-1/t/1/fs/0/start/0/end/0/c</v>
      </c>
    </row>
    <row r="247" spans="1:8" x14ac:dyDescent="0.25">
      <c r="A247">
        <v>155065</v>
      </c>
      <c r="B247" t="s">
        <v>564</v>
      </c>
      <c r="C247" t="s">
        <v>565</v>
      </c>
      <c r="D247" t="s">
        <v>10</v>
      </c>
      <c r="E247" t="s">
        <v>46</v>
      </c>
      <c r="F247" t="s">
        <v>19</v>
      </c>
      <c r="G247" t="str">
        <f>HYPERLINK(_xlfn.CONCAT("https://tablet.otzar.org/",CHAR(35),"/exKotar/155065"),"חמשה חומשי תורה עם פירוש אור החיים &lt;מוה""""ק&gt;  - 6 כרכים")</f>
        <v>חמשה חומשי תורה עם פירוש אור החיים &lt;מוה""ק&gt;  - 6 כרכים</v>
      </c>
      <c r="H247" t="str">
        <f>_xlfn.CONCAT("https://tablet.otzar.org/",CHAR(35),"/exKotar/155065")</f>
        <v>https://tablet.otzar.org/#/exKotar/155065</v>
      </c>
    </row>
    <row r="248" spans="1:8" x14ac:dyDescent="0.25">
      <c r="A248">
        <v>170013</v>
      </c>
      <c r="B248" t="s">
        <v>566</v>
      </c>
      <c r="C248" t="s">
        <v>522</v>
      </c>
      <c r="D248" t="s">
        <v>10</v>
      </c>
      <c r="E248" t="s">
        <v>325</v>
      </c>
      <c r="F248" t="s">
        <v>507</v>
      </c>
      <c r="G248" t="str">
        <f>HYPERLINK(_xlfn.CONCAT("https://tablet.otzar.org/",CHAR(35),"/book/170013/p/-1/t/1/fs/0/start/0/end/0/c"),"חן וחסד")</f>
        <v>חן וחסד</v>
      </c>
      <c r="H248" t="str">
        <f>_xlfn.CONCAT("https://tablet.otzar.org/",CHAR(35),"/book/170013/p/-1/t/1/fs/0/start/0/end/0/c")</f>
        <v>https://tablet.otzar.org/#/book/170013/p/-1/t/1/fs/0/start/0/end/0/c</v>
      </c>
    </row>
    <row r="249" spans="1:8" x14ac:dyDescent="0.25">
      <c r="A249">
        <v>156317</v>
      </c>
      <c r="B249" t="s">
        <v>567</v>
      </c>
      <c r="C249" t="s">
        <v>568</v>
      </c>
      <c r="D249" t="s">
        <v>10</v>
      </c>
      <c r="E249" t="s">
        <v>18</v>
      </c>
      <c r="F249" t="s">
        <v>135</v>
      </c>
      <c r="G249" t="str">
        <f>HYPERLINK(_xlfn.CONCAT("https://tablet.otzar.org/",CHAR(35),"/book/156317/p/-1/t/1/fs/0/start/0/end/0/c"),"חקרי הלכה")</f>
        <v>חקרי הלכה</v>
      </c>
      <c r="H249" t="str">
        <f>_xlfn.CONCAT("https://tablet.otzar.org/",CHAR(35),"/book/156317/p/-1/t/1/fs/0/start/0/end/0/c")</f>
        <v>https://tablet.otzar.org/#/book/156317/p/-1/t/1/fs/0/start/0/end/0/c</v>
      </c>
    </row>
    <row r="250" spans="1:8" x14ac:dyDescent="0.25">
      <c r="A250">
        <v>157001</v>
      </c>
      <c r="B250" t="s">
        <v>569</v>
      </c>
      <c r="C250" t="s">
        <v>570</v>
      </c>
      <c r="D250" t="s">
        <v>10</v>
      </c>
      <c r="E250" t="s">
        <v>18</v>
      </c>
      <c r="F250" t="s">
        <v>23</v>
      </c>
      <c r="G250" t="str">
        <f>HYPERLINK(_xlfn.CONCAT("https://tablet.otzar.org/",CHAR(35),"/exKotar/157001"),"חקרי זמנים - 2 כרכים")</f>
        <v>חקרי זמנים - 2 כרכים</v>
      </c>
      <c r="H250" t="str">
        <f>_xlfn.CONCAT("https://tablet.otzar.org/",CHAR(35),"/exKotar/157001")</f>
        <v>https://tablet.otzar.org/#/exKotar/157001</v>
      </c>
    </row>
    <row r="251" spans="1:8" x14ac:dyDescent="0.25">
      <c r="A251">
        <v>169986</v>
      </c>
      <c r="B251" t="s">
        <v>571</v>
      </c>
      <c r="C251" t="s">
        <v>443</v>
      </c>
      <c r="D251" t="s">
        <v>10</v>
      </c>
      <c r="E251" t="s">
        <v>157</v>
      </c>
      <c r="F251" t="s">
        <v>23</v>
      </c>
      <c r="G251" t="str">
        <f>HYPERLINK(_xlfn.CONCAT("https://tablet.otzar.org/",CHAR(35),"/book/169986/p/-1/t/1/fs/0/start/0/end/0/c"),"חקרי יהדות")</f>
        <v>חקרי יהדות</v>
      </c>
      <c r="H251" t="str">
        <f>_xlfn.CONCAT("https://tablet.otzar.org/",CHAR(35),"/book/169986/p/-1/t/1/fs/0/start/0/end/0/c")</f>
        <v>https://tablet.otzar.org/#/book/169986/p/-1/t/1/fs/0/start/0/end/0/c</v>
      </c>
    </row>
    <row r="252" spans="1:8" x14ac:dyDescent="0.25">
      <c r="A252">
        <v>157063</v>
      </c>
      <c r="B252" t="s">
        <v>572</v>
      </c>
      <c r="C252" t="s">
        <v>573</v>
      </c>
      <c r="G252" t="str">
        <f>HYPERLINK(_xlfn.CONCAT("https://tablet.otzar.org/",CHAR(35),"/book/157063/p/-1/t/1/fs/0/start/0/end/0/c"),"חקרי מקרא")</f>
        <v>חקרי מקרא</v>
      </c>
      <c r="H252" t="str">
        <f>_xlfn.CONCAT("https://tablet.otzar.org/",CHAR(35),"/book/157063/p/-1/t/1/fs/0/start/0/end/0/c")</f>
        <v>https://tablet.otzar.org/#/book/157063/p/-1/t/1/fs/0/start/0/end/0/c</v>
      </c>
    </row>
    <row r="253" spans="1:8" x14ac:dyDescent="0.25">
      <c r="A253">
        <v>657052</v>
      </c>
      <c r="B253" t="s">
        <v>574</v>
      </c>
      <c r="C253" t="s">
        <v>575</v>
      </c>
      <c r="D253" t="s">
        <v>10</v>
      </c>
      <c r="E253" t="s">
        <v>187</v>
      </c>
      <c r="F253" t="s">
        <v>55</v>
      </c>
      <c r="G253" t="str">
        <f>HYPERLINK(_xlfn.CONCAT("https://tablet.otzar.org/",CHAR(35),"/book/657052/p/-1/t/1/fs/0/start/0/end/0/c"),"חשבון הנפש &lt;מהדורת מוסד הרב קוק&gt;")</f>
        <v>חשבון הנפש &lt;מהדורת מוסד הרב קוק&gt;</v>
      </c>
      <c r="H253" t="str">
        <f>_xlfn.CONCAT("https://tablet.otzar.org/",CHAR(35),"/book/657052/p/-1/t/1/fs/0/start/0/end/0/c")</f>
        <v>https://tablet.otzar.org/#/book/657052/p/-1/t/1/fs/0/start/0/end/0/c</v>
      </c>
    </row>
    <row r="254" spans="1:8" x14ac:dyDescent="0.25">
      <c r="A254">
        <v>155591</v>
      </c>
      <c r="B254" t="s">
        <v>576</v>
      </c>
      <c r="C254" t="s">
        <v>522</v>
      </c>
      <c r="D254" t="s">
        <v>10</v>
      </c>
      <c r="E254" t="s">
        <v>193</v>
      </c>
      <c r="F254" t="s">
        <v>55</v>
      </c>
      <c r="G254" t="str">
        <f>HYPERLINK(_xlfn.CONCAT("https://tablet.otzar.org/",CHAR(35),"/exKotar/155591"),"חשבונו של עולם - 3 כרכים")</f>
        <v>חשבונו של עולם - 3 כרכים</v>
      </c>
      <c r="H254" t="str">
        <f>_xlfn.CONCAT("https://tablet.otzar.org/",CHAR(35),"/exKotar/155591")</f>
        <v>https://tablet.otzar.org/#/exKotar/155591</v>
      </c>
    </row>
    <row r="255" spans="1:8" x14ac:dyDescent="0.25">
      <c r="A255">
        <v>156248</v>
      </c>
      <c r="B255" t="s">
        <v>577</v>
      </c>
      <c r="C255" t="s">
        <v>578</v>
      </c>
      <c r="D255" t="s">
        <v>10</v>
      </c>
      <c r="E255" t="s">
        <v>579</v>
      </c>
      <c r="F255" t="s">
        <v>507</v>
      </c>
      <c r="G255" t="str">
        <f>HYPERLINK(_xlfn.CONCAT("https://tablet.otzar.org/",CHAR(35),"/exKotar/156248"),"טמירין - 2 כרכים")</f>
        <v>טמירין - 2 כרכים</v>
      </c>
      <c r="H255" t="str">
        <f>_xlfn.CONCAT("https://tablet.otzar.org/",CHAR(35),"/exKotar/156248")</f>
        <v>https://tablet.otzar.org/#/exKotar/156248</v>
      </c>
    </row>
    <row r="256" spans="1:8" x14ac:dyDescent="0.25">
      <c r="A256">
        <v>155086</v>
      </c>
      <c r="B256" t="s">
        <v>580</v>
      </c>
      <c r="C256" t="s">
        <v>581</v>
      </c>
      <c r="D256" t="s">
        <v>10</v>
      </c>
      <c r="E256" t="s">
        <v>25</v>
      </c>
      <c r="F256" t="s">
        <v>411</v>
      </c>
      <c r="G256" t="str">
        <f>HYPERLINK(_xlfn.CONCAT("https://tablet.otzar.org/",CHAR(35),"/exKotar/155086"),"יד אליהו - 6 כרכים")</f>
        <v>יד אליהו - 6 כרכים</v>
      </c>
      <c r="H256" t="str">
        <f>_xlfn.CONCAT("https://tablet.otzar.org/",CHAR(35),"/exKotar/155086")</f>
        <v>https://tablet.otzar.org/#/exKotar/155086</v>
      </c>
    </row>
    <row r="257" spans="1:8" x14ac:dyDescent="0.25">
      <c r="A257">
        <v>638123</v>
      </c>
      <c r="B257" t="s">
        <v>582</v>
      </c>
      <c r="C257" t="s">
        <v>583</v>
      </c>
      <c r="D257" t="s">
        <v>10</v>
      </c>
      <c r="E257" t="s">
        <v>116</v>
      </c>
      <c r="F257" t="s">
        <v>12</v>
      </c>
      <c r="G257" t="str">
        <f>HYPERLINK(_xlfn.CONCAT("https://tablet.otzar.org/",CHAR(35),"/book/638123/p/-1/t/1/fs/0/start/0/end/0/c"),"יהדות איראן וספרות רבנית")</f>
        <v>יהדות איראן וספרות רבנית</v>
      </c>
      <c r="H257" t="str">
        <f>_xlfn.CONCAT("https://tablet.otzar.org/",CHAR(35),"/book/638123/p/-1/t/1/fs/0/start/0/end/0/c")</f>
        <v>https://tablet.otzar.org/#/book/638123/p/-1/t/1/fs/0/start/0/end/0/c</v>
      </c>
    </row>
    <row r="258" spans="1:8" x14ac:dyDescent="0.25">
      <c r="A258">
        <v>158981</v>
      </c>
      <c r="B258" t="s">
        <v>584</v>
      </c>
      <c r="C258" t="s">
        <v>585</v>
      </c>
      <c r="D258" t="s">
        <v>10</v>
      </c>
      <c r="E258" t="s">
        <v>140</v>
      </c>
      <c r="F258" t="s">
        <v>12</v>
      </c>
      <c r="G258" t="str">
        <f>HYPERLINK(_xlfn.CONCAT("https://tablet.otzar.org/",CHAR(35),"/book/158981/p/-1/t/1/fs/0/start/0/end/0/c"),"יהדות ברוסיה הסוביטית")</f>
        <v>יהדות ברוסיה הסוביטית</v>
      </c>
      <c r="H258" t="str">
        <f>_xlfn.CONCAT("https://tablet.otzar.org/",CHAR(35),"/book/158981/p/-1/t/1/fs/0/start/0/end/0/c")</f>
        <v>https://tablet.otzar.org/#/book/158981/p/-1/t/1/fs/0/start/0/end/0/c</v>
      </c>
    </row>
    <row r="259" spans="1:8" x14ac:dyDescent="0.25">
      <c r="A259">
        <v>614704</v>
      </c>
      <c r="B259" t="s">
        <v>586</v>
      </c>
      <c r="C259" t="s">
        <v>587</v>
      </c>
      <c r="D259" t="s">
        <v>10</v>
      </c>
      <c r="E259" t="s">
        <v>471</v>
      </c>
      <c r="F259" t="s">
        <v>12</v>
      </c>
      <c r="G259" t="str">
        <f>HYPERLINK(_xlfn.CONCAT("https://tablet.otzar.org/",CHAR(35),"/book/614704/p/-1/t/1/fs/0/start/0/end/0/c"),"יהדות ליטא")</f>
        <v>יהדות ליטא</v>
      </c>
      <c r="H259" t="str">
        <f>_xlfn.CONCAT("https://tablet.otzar.org/",CHAR(35),"/book/614704/p/-1/t/1/fs/0/start/0/end/0/c")</f>
        <v>https://tablet.otzar.org/#/book/614704/p/-1/t/1/fs/0/start/0/end/0/c</v>
      </c>
    </row>
    <row r="260" spans="1:8" x14ac:dyDescent="0.25">
      <c r="A260">
        <v>157038</v>
      </c>
      <c r="B260" t="s">
        <v>588</v>
      </c>
      <c r="C260" t="s">
        <v>589</v>
      </c>
      <c r="D260" t="s">
        <v>10</v>
      </c>
      <c r="E260" t="s">
        <v>143</v>
      </c>
      <c r="F260" t="s">
        <v>12</v>
      </c>
      <c r="G260" t="str">
        <f>HYPERLINK(_xlfn.CONCAT("https://tablet.otzar.org/",CHAR(35),"/book/157038/p/-1/t/1/fs/0/start/0/end/0/c"),"יהודה וירושלם")</f>
        <v>יהודה וירושלם</v>
      </c>
      <c r="H260" t="str">
        <f>_xlfn.CONCAT("https://tablet.otzar.org/",CHAR(35),"/book/157038/p/-1/t/1/fs/0/start/0/end/0/c")</f>
        <v>https://tablet.otzar.org/#/book/157038/p/-1/t/1/fs/0/start/0/end/0/c</v>
      </c>
    </row>
    <row r="261" spans="1:8" x14ac:dyDescent="0.25">
      <c r="A261">
        <v>155293</v>
      </c>
      <c r="B261" t="s">
        <v>590</v>
      </c>
      <c r="C261" t="s">
        <v>591</v>
      </c>
      <c r="D261" t="s">
        <v>10</v>
      </c>
      <c r="E261" t="s">
        <v>592</v>
      </c>
      <c r="F261" t="s">
        <v>19</v>
      </c>
      <c r="G261" t="str">
        <f>HYPERLINK(_xlfn.CONCAT("https://tablet.otzar.org/",CHAR(35),"/book/155293/p/-1/t/1/fs/0/start/0/end/0/c"),"יהושע שופטים עם פירוש רש""""י")</f>
        <v>יהושע שופטים עם פירוש רש""י</v>
      </c>
      <c r="H261" t="str">
        <f>_xlfn.CONCAT("https://tablet.otzar.org/",CHAR(35),"/book/155293/p/-1/t/1/fs/0/start/0/end/0/c")</f>
        <v>https://tablet.otzar.org/#/book/155293/p/-1/t/1/fs/0/start/0/end/0/c</v>
      </c>
    </row>
    <row r="262" spans="1:8" x14ac:dyDescent="0.25">
      <c r="A262">
        <v>155548</v>
      </c>
      <c r="B262" t="s">
        <v>593</v>
      </c>
      <c r="C262" t="s">
        <v>594</v>
      </c>
      <c r="D262" t="s">
        <v>10</v>
      </c>
      <c r="E262" t="s">
        <v>193</v>
      </c>
      <c r="F262" t="s">
        <v>97</v>
      </c>
      <c r="G262" t="str">
        <f>HYPERLINK(_xlfn.CONCAT("https://tablet.otzar.org/",CHAR(35),"/book/155548/p/-1/t/1/fs/0/start/0/end/0/c"),"יובל המאה של המזרחי")</f>
        <v>יובל המאה של המזרחי</v>
      </c>
      <c r="H262" t="str">
        <f>_xlfn.CONCAT("https://tablet.otzar.org/",CHAR(35),"/book/155548/p/-1/t/1/fs/0/start/0/end/0/c")</f>
        <v>https://tablet.otzar.org/#/book/155548/p/-1/t/1/fs/0/start/0/end/0/c</v>
      </c>
    </row>
    <row r="263" spans="1:8" x14ac:dyDescent="0.25">
      <c r="A263">
        <v>155580</v>
      </c>
      <c r="B263" t="s">
        <v>595</v>
      </c>
      <c r="C263" t="s">
        <v>596</v>
      </c>
      <c r="D263" t="s">
        <v>10</v>
      </c>
      <c r="E263" t="s">
        <v>592</v>
      </c>
      <c r="F263" t="s">
        <v>97</v>
      </c>
      <c r="G263" t="str">
        <f>HYPERLINK(_xlfn.CONCAT("https://tablet.otzar.org/",CHAR(35),"/exKotar/155580"),"יובל סיני - 2 כרכים")</f>
        <v>יובל סיני - 2 כרכים</v>
      </c>
      <c r="H263" t="str">
        <f>_xlfn.CONCAT("https://tablet.otzar.org/",CHAR(35),"/exKotar/155580")</f>
        <v>https://tablet.otzar.org/#/exKotar/155580</v>
      </c>
    </row>
    <row r="264" spans="1:8" x14ac:dyDescent="0.25">
      <c r="A264">
        <v>155172</v>
      </c>
      <c r="B264" t="s">
        <v>597</v>
      </c>
      <c r="C264" t="s">
        <v>111</v>
      </c>
      <c r="D264" t="s">
        <v>10</v>
      </c>
      <c r="E264" t="s">
        <v>22</v>
      </c>
      <c r="F264" t="s">
        <v>12</v>
      </c>
      <c r="G264" t="str">
        <f>HYPERLINK(_xlfn.CONCAT("https://tablet.otzar.org/",CHAR(35),"/book/155172/p/-1/t/1/fs/0/start/0/end/0/c"),"יודע העתים")</f>
        <v>יודע העתים</v>
      </c>
      <c r="H264" t="str">
        <f>_xlfn.CONCAT("https://tablet.otzar.org/",CHAR(35),"/book/155172/p/-1/t/1/fs/0/start/0/end/0/c")</f>
        <v>https://tablet.otzar.org/#/book/155172/p/-1/t/1/fs/0/start/0/end/0/c</v>
      </c>
    </row>
    <row r="265" spans="1:8" x14ac:dyDescent="0.25">
      <c r="A265">
        <v>156274</v>
      </c>
      <c r="B265" t="s">
        <v>598</v>
      </c>
      <c r="C265" t="s">
        <v>599</v>
      </c>
      <c r="D265" t="s">
        <v>10</v>
      </c>
      <c r="E265" t="s">
        <v>314</v>
      </c>
      <c r="F265" t="s">
        <v>12</v>
      </c>
      <c r="G265" t="str">
        <f>HYPERLINK(_xlfn.CONCAT("https://tablet.otzar.org/",CHAR(35),"/book/156274/p/-1/t/1/fs/0/start/0/end/0/c"),"יחוסי תנאים ואמוראים &lt;מהדורת מימון&gt;")</f>
        <v>יחוסי תנאים ואמוראים &lt;מהדורת מימון&gt;</v>
      </c>
      <c r="H265" t="str">
        <f>_xlfn.CONCAT("https://tablet.otzar.org/",CHAR(35),"/book/156274/p/-1/t/1/fs/0/start/0/end/0/c")</f>
        <v>https://tablet.otzar.org/#/book/156274/p/-1/t/1/fs/0/start/0/end/0/c</v>
      </c>
    </row>
    <row r="266" spans="1:8" x14ac:dyDescent="0.25">
      <c r="A266">
        <v>157999</v>
      </c>
      <c r="B266" t="s">
        <v>600</v>
      </c>
      <c r="C266" t="s">
        <v>601</v>
      </c>
      <c r="D266" t="s">
        <v>10</v>
      </c>
      <c r="E266" t="s">
        <v>388</v>
      </c>
      <c r="F266" t="s">
        <v>19</v>
      </c>
      <c r="G266" t="str">
        <f>HYPERLINK(_xlfn.CONCAT("https://tablet.otzar.org/",CHAR(35),"/exKotar/157999"),"ילקוט שמעוני &lt;מוה""""ק&gt;  - 11 כרכים")</f>
        <v>ילקוט שמעוני &lt;מוה""ק&gt;  - 11 כרכים</v>
      </c>
      <c r="H266" t="str">
        <f>_xlfn.CONCAT("https://tablet.otzar.org/",CHAR(35),"/exKotar/157999")</f>
        <v>https://tablet.otzar.org/#/exKotar/157999</v>
      </c>
    </row>
    <row r="267" spans="1:8" x14ac:dyDescent="0.25">
      <c r="A267">
        <v>157323</v>
      </c>
      <c r="B267" t="s">
        <v>602</v>
      </c>
      <c r="C267" t="s">
        <v>17</v>
      </c>
      <c r="D267" t="s">
        <v>10</v>
      </c>
      <c r="E267" t="s">
        <v>80</v>
      </c>
      <c r="F267" t="s">
        <v>23</v>
      </c>
      <c r="G267" t="str">
        <f>HYPERLINK(_xlfn.CONCAT("https://tablet.otzar.org/",CHAR(35),"/book/157323/p/-1/t/1/fs/0/start/0/end/0/c"),"יסוד דקדוק הוא שפת יתר")</f>
        <v>יסוד דקדוק הוא שפת יתר</v>
      </c>
      <c r="H267" t="str">
        <f>_xlfn.CONCAT("https://tablet.otzar.org/",CHAR(35),"/book/157323/p/-1/t/1/fs/0/start/0/end/0/c")</f>
        <v>https://tablet.otzar.org/#/book/157323/p/-1/t/1/fs/0/start/0/end/0/c</v>
      </c>
    </row>
    <row r="268" spans="1:8" x14ac:dyDescent="0.25">
      <c r="A268">
        <v>155210</v>
      </c>
      <c r="B268" t="s">
        <v>603</v>
      </c>
      <c r="C268" t="s">
        <v>462</v>
      </c>
      <c r="D268" t="s">
        <v>10</v>
      </c>
      <c r="E268" t="s">
        <v>604</v>
      </c>
      <c r="F268" t="s">
        <v>605</v>
      </c>
      <c r="G268" t="str">
        <f>HYPERLINK(_xlfn.CONCAT("https://tablet.otzar.org/",CHAR(35),"/book/155210/p/-1/t/1/fs/0/start/0/end/0/c"),"יסוד המשנה ועריכתה")</f>
        <v>יסוד המשנה ועריכתה</v>
      </c>
      <c r="H268" t="str">
        <f>_xlfn.CONCAT("https://tablet.otzar.org/",CHAR(35),"/book/155210/p/-1/t/1/fs/0/start/0/end/0/c")</f>
        <v>https://tablet.otzar.org/#/book/155210/p/-1/t/1/fs/0/start/0/end/0/c</v>
      </c>
    </row>
    <row r="269" spans="1:8" x14ac:dyDescent="0.25">
      <c r="A269">
        <v>647317</v>
      </c>
      <c r="B269" t="s">
        <v>606</v>
      </c>
      <c r="C269" t="s">
        <v>17</v>
      </c>
      <c r="D269" t="s">
        <v>10</v>
      </c>
      <c r="E269" t="s">
        <v>49</v>
      </c>
      <c r="F269" t="s">
        <v>607</v>
      </c>
      <c r="G269" t="str">
        <f>HYPERLINK(_xlfn.CONCAT("https://tablet.otzar.org/",CHAR(35),"/book/647317/p/-1/t/1/fs/0/start/0/end/0/c"),"יסוד מורא וסוד תורה &lt;מהדורת מוה""""ק&gt;")</f>
        <v>יסוד מורא וסוד תורה &lt;מהדורת מוה""ק&gt;</v>
      </c>
      <c r="H269" t="str">
        <f>_xlfn.CONCAT("https://tablet.otzar.org/",CHAR(35),"/book/647317/p/-1/t/1/fs/0/start/0/end/0/c")</f>
        <v>https://tablet.otzar.org/#/book/647317/p/-1/t/1/fs/0/start/0/end/0/c</v>
      </c>
    </row>
    <row r="270" spans="1:8" x14ac:dyDescent="0.25">
      <c r="A270">
        <v>157324</v>
      </c>
      <c r="B270" t="s">
        <v>608</v>
      </c>
      <c r="C270" t="s">
        <v>609</v>
      </c>
      <c r="D270" t="s">
        <v>10</v>
      </c>
      <c r="E270" t="s">
        <v>421</v>
      </c>
      <c r="F270" t="s">
        <v>85</v>
      </c>
      <c r="G270" t="str">
        <f>HYPERLINK(_xlfn.CONCAT("https://tablet.otzar.org/",CHAR(35),"/book/157324/p/-1/t/1/fs/0/start/0/end/0/c"),"יקר תפארת")</f>
        <v>יקר תפארת</v>
      </c>
      <c r="H270" t="str">
        <f>_xlfn.CONCAT("https://tablet.otzar.org/",CHAR(35),"/book/157324/p/-1/t/1/fs/0/start/0/end/0/c")</f>
        <v>https://tablet.otzar.org/#/book/157324/p/-1/t/1/fs/0/start/0/end/0/c</v>
      </c>
    </row>
    <row r="271" spans="1:8" x14ac:dyDescent="0.25">
      <c r="A271">
        <v>157037</v>
      </c>
      <c r="B271" t="s">
        <v>610</v>
      </c>
      <c r="C271" t="s">
        <v>10</v>
      </c>
      <c r="D271" t="s">
        <v>10</v>
      </c>
      <c r="E271" t="s">
        <v>611</v>
      </c>
      <c r="F271" t="s">
        <v>158</v>
      </c>
      <c r="G271" t="str">
        <f>HYPERLINK(_xlfn.CONCAT("https://tablet.otzar.org/",CHAR(35),"/book/157037/p/-1/t/1/fs/0/start/0/end/0/c"),"ירושלים - ד")</f>
        <v>ירושלים - ד</v>
      </c>
      <c r="H271" t="str">
        <f>_xlfn.CONCAT("https://tablet.otzar.org/",CHAR(35),"/book/157037/p/-1/t/1/fs/0/start/0/end/0/c")</f>
        <v>https://tablet.otzar.org/#/book/157037/p/-1/t/1/fs/0/start/0/end/0/c</v>
      </c>
    </row>
    <row r="272" spans="1:8" x14ac:dyDescent="0.25">
      <c r="A272">
        <v>157039</v>
      </c>
      <c r="B272" t="s">
        <v>612</v>
      </c>
      <c r="C272" t="s">
        <v>479</v>
      </c>
      <c r="D272" t="s">
        <v>10</v>
      </c>
      <c r="E272" t="s">
        <v>18</v>
      </c>
      <c r="F272" t="s">
        <v>158</v>
      </c>
      <c r="G272" t="str">
        <f>HYPERLINK(_xlfn.CONCAT("https://tablet.otzar.org/",CHAR(35),"/book/157039/p/-1/t/1/fs/0/start/0/end/0/c"),"ירושלים עיר הקודש והמקדש")</f>
        <v>ירושלים עיר הקודש והמקדש</v>
      </c>
      <c r="H272" t="str">
        <f>_xlfn.CONCAT("https://tablet.otzar.org/",CHAR(35),"/book/157039/p/-1/t/1/fs/0/start/0/end/0/c")</f>
        <v>https://tablet.otzar.org/#/book/157039/p/-1/t/1/fs/0/start/0/end/0/c</v>
      </c>
    </row>
    <row r="273" spans="1:8" x14ac:dyDescent="0.25">
      <c r="A273">
        <v>638034</v>
      </c>
      <c r="B273" t="s">
        <v>613</v>
      </c>
      <c r="C273" t="s">
        <v>614</v>
      </c>
      <c r="D273" t="s">
        <v>10</v>
      </c>
      <c r="E273" t="s">
        <v>116</v>
      </c>
      <c r="F273" t="s">
        <v>23</v>
      </c>
      <c r="G273" t="str">
        <f>HYPERLINK(_xlfn.CONCAT("https://tablet.otzar.org/",CHAR(35),"/book/638034/p/-1/t/1/fs/0/start/0/end/0/c"),"יריעות שלמה &lt;מוה""""ק&gt;")</f>
        <v>יריעות שלמה &lt;מוה""ק&gt;</v>
      </c>
      <c r="H273" t="str">
        <f>_xlfn.CONCAT("https://tablet.otzar.org/",CHAR(35),"/book/638034/p/-1/t/1/fs/0/start/0/end/0/c")</f>
        <v>https://tablet.otzar.org/#/book/638034/p/-1/t/1/fs/0/start/0/end/0/c</v>
      </c>
    </row>
    <row r="274" spans="1:8" x14ac:dyDescent="0.25">
      <c r="A274">
        <v>156292</v>
      </c>
      <c r="B274" t="s">
        <v>615</v>
      </c>
      <c r="C274" t="s">
        <v>271</v>
      </c>
      <c r="D274" t="s">
        <v>10</v>
      </c>
      <c r="E274" t="s">
        <v>54</v>
      </c>
      <c r="F274" t="s">
        <v>55</v>
      </c>
      <c r="G274" t="str">
        <f>HYPERLINK(_xlfn.CONCAT("https://tablet.otzar.org/",CHAR(35),"/book/156292/p/-1/t/1/fs/0/start/0/end/0/c"),"ישראל והאנושות")</f>
        <v>ישראל והאנושות</v>
      </c>
      <c r="H274" t="str">
        <f>_xlfn.CONCAT("https://tablet.otzar.org/",CHAR(35),"/book/156292/p/-1/t/1/fs/0/start/0/end/0/c")</f>
        <v>https://tablet.otzar.org/#/book/156292/p/-1/t/1/fs/0/start/0/end/0/c</v>
      </c>
    </row>
    <row r="275" spans="1:8" x14ac:dyDescent="0.25">
      <c r="A275">
        <v>155365</v>
      </c>
      <c r="B275" t="s">
        <v>616</v>
      </c>
      <c r="C275" t="s">
        <v>522</v>
      </c>
      <c r="D275" t="s">
        <v>10</v>
      </c>
      <c r="E275" t="s">
        <v>28</v>
      </c>
      <c r="F275" t="s">
        <v>55</v>
      </c>
      <c r="G275" t="str">
        <f>HYPERLINK(_xlfn.CONCAT("https://tablet.otzar.org/",CHAR(35),"/book/155365/p/-1/t/1/fs/0/start/0/end/0/c"),"ישראל ושורשיו")</f>
        <v>ישראל ושורשיו</v>
      </c>
      <c r="H275" t="str">
        <f>_xlfn.CONCAT("https://tablet.otzar.org/",CHAR(35),"/book/155365/p/-1/t/1/fs/0/start/0/end/0/c")</f>
        <v>https://tablet.otzar.org/#/book/155365/p/-1/t/1/fs/0/start/0/end/0/c</v>
      </c>
    </row>
    <row r="276" spans="1:8" x14ac:dyDescent="0.25">
      <c r="A276">
        <v>155307</v>
      </c>
      <c r="B276" t="s">
        <v>617</v>
      </c>
      <c r="C276" t="s">
        <v>14</v>
      </c>
      <c r="D276" t="s">
        <v>10</v>
      </c>
      <c r="E276" t="s">
        <v>383</v>
      </c>
      <c r="F276" t="s">
        <v>55</v>
      </c>
      <c r="G276" t="str">
        <f>HYPERLINK(_xlfn.CONCAT("https://tablet.otzar.org/",CHAR(35),"/book/155307/p/-1/t/1/fs/0/start/0/end/0/c"),"ישראל תורה ציון")</f>
        <v>ישראל תורה ציון</v>
      </c>
      <c r="H276" t="str">
        <f>_xlfn.CONCAT("https://tablet.otzar.org/",CHAR(35),"/book/155307/p/-1/t/1/fs/0/start/0/end/0/c")</f>
        <v>https://tablet.otzar.org/#/book/155307/p/-1/t/1/fs/0/start/0/end/0/c</v>
      </c>
    </row>
    <row r="277" spans="1:8" x14ac:dyDescent="0.25">
      <c r="A277">
        <v>688770</v>
      </c>
      <c r="B277" t="s">
        <v>618</v>
      </c>
      <c r="C277" t="s">
        <v>619</v>
      </c>
      <c r="D277" t="s">
        <v>10</v>
      </c>
      <c r="E277" t="s">
        <v>62</v>
      </c>
      <c r="G277" t="str">
        <f>HYPERLINK(_xlfn.CONCAT("https://tablet.otzar.org/",CHAR(35),"/book/688770/p/-1/t/1/fs/0/start/0/end/0/c"),"כדת משה וישראל")</f>
        <v>כדת משה וישראל</v>
      </c>
      <c r="H277" t="str">
        <f>_xlfn.CONCAT("https://tablet.otzar.org/",CHAR(35),"/book/688770/p/-1/t/1/fs/0/start/0/end/0/c")</f>
        <v>https://tablet.otzar.org/#/book/688770/p/-1/t/1/fs/0/start/0/end/0/c</v>
      </c>
    </row>
    <row r="278" spans="1:8" x14ac:dyDescent="0.25">
      <c r="A278">
        <v>155228</v>
      </c>
      <c r="B278" t="s">
        <v>620</v>
      </c>
      <c r="C278" t="s">
        <v>621</v>
      </c>
      <c r="D278" t="s">
        <v>10</v>
      </c>
      <c r="E278" t="s">
        <v>622</v>
      </c>
      <c r="F278" t="s">
        <v>262</v>
      </c>
      <c r="G278" t="str">
        <f>HYPERLINK(_xlfn.CONCAT("https://tablet.otzar.org/",CHAR(35),"/book/155228/p/-1/t/1/fs/0/start/0/end/0/c"),"כוס אליהו")</f>
        <v>כוס אליהו</v>
      </c>
      <c r="H278" t="str">
        <f>_xlfn.CONCAT("https://tablet.otzar.org/",CHAR(35),"/book/155228/p/-1/t/1/fs/0/start/0/end/0/c")</f>
        <v>https://tablet.otzar.org/#/book/155228/p/-1/t/1/fs/0/start/0/end/0/c</v>
      </c>
    </row>
    <row r="279" spans="1:8" x14ac:dyDescent="0.25">
      <c r="A279">
        <v>155100</v>
      </c>
      <c r="B279" t="s">
        <v>623</v>
      </c>
      <c r="C279" t="s">
        <v>624</v>
      </c>
      <c r="D279" t="s">
        <v>10</v>
      </c>
      <c r="E279" t="s">
        <v>622</v>
      </c>
      <c r="F279" t="s">
        <v>85</v>
      </c>
      <c r="G279" t="str">
        <f>HYPERLINK(_xlfn.CONCAT("https://tablet.otzar.org/",CHAR(35),"/book/155100/p/-1/t/1/fs/0/start/0/end/0/c"),"כחלום יעוף")</f>
        <v>כחלום יעוף</v>
      </c>
      <c r="H279" t="str">
        <f>_xlfn.CONCAT("https://tablet.otzar.org/",CHAR(35),"/book/155100/p/-1/t/1/fs/0/start/0/end/0/c")</f>
        <v>https://tablet.otzar.org/#/book/155100/p/-1/t/1/fs/0/start/0/end/0/c</v>
      </c>
    </row>
    <row r="280" spans="1:8" x14ac:dyDescent="0.25">
      <c r="A280">
        <v>170002</v>
      </c>
      <c r="B280" t="s">
        <v>625</v>
      </c>
      <c r="C280" t="s">
        <v>626</v>
      </c>
      <c r="D280" t="s">
        <v>10</v>
      </c>
      <c r="E280" t="s">
        <v>157</v>
      </c>
      <c r="F280" t="s">
        <v>23</v>
      </c>
      <c r="G280" t="str">
        <f>HYPERLINK(_xlfn.CONCAT("https://tablet.otzar.org/",CHAR(35),"/book/170002/p/-1/t/1/fs/0/start/0/end/0/c"),"כי עת לחננה")</f>
        <v>כי עת לחננה</v>
      </c>
      <c r="H280" t="str">
        <f>_xlfn.CONCAT("https://tablet.otzar.org/",CHAR(35),"/book/170002/p/-1/t/1/fs/0/start/0/end/0/c")</f>
        <v>https://tablet.otzar.org/#/book/170002/p/-1/t/1/fs/0/start/0/end/0/c</v>
      </c>
    </row>
    <row r="281" spans="1:8" x14ac:dyDescent="0.25">
      <c r="A281">
        <v>157061</v>
      </c>
      <c r="B281" t="s">
        <v>627</v>
      </c>
      <c r="C281" t="s">
        <v>628</v>
      </c>
      <c r="D281" t="s">
        <v>10</v>
      </c>
      <c r="E281" t="s">
        <v>289</v>
      </c>
      <c r="F281" t="s">
        <v>12</v>
      </c>
      <c r="G281" t="str">
        <f>HYPERLINK(_xlfn.CONCAT("https://tablet.otzar.org/",CHAR(35),"/book/157061/p/-1/t/1/fs/0/start/0/end/0/c"),"כלי החרס בספרות התלמוד")</f>
        <v>כלי החרס בספרות התלמוד</v>
      </c>
      <c r="H281" t="str">
        <f>_xlfn.CONCAT("https://tablet.otzar.org/",CHAR(35),"/book/157061/p/-1/t/1/fs/0/start/0/end/0/c")</f>
        <v>https://tablet.otzar.org/#/book/157061/p/-1/t/1/fs/0/start/0/end/0/c</v>
      </c>
    </row>
    <row r="282" spans="1:8" x14ac:dyDescent="0.25">
      <c r="A282">
        <v>157071</v>
      </c>
      <c r="B282" t="s">
        <v>629</v>
      </c>
      <c r="C282" t="s">
        <v>630</v>
      </c>
      <c r="D282" t="s">
        <v>10</v>
      </c>
      <c r="E282" t="s">
        <v>126</v>
      </c>
      <c r="F282" t="s">
        <v>12</v>
      </c>
      <c r="G282" t="str">
        <f>HYPERLINK(_xlfn.CONCAT("https://tablet.otzar.org/",CHAR(35),"/book/157071/p/-1/t/1/fs/0/start/0/end/0/c"),"כלי זכוכית בספרות התלמוד")</f>
        <v>כלי זכוכית בספרות התלמוד</v>
      </c>
      <c r="H282" t="str">
        <f>_xlfn.CONCAT("https://tablet.otzar.org/",CHAR(35),"/book/157071/p/-1/t/1/fs/0/start/0/end/0/c")</f>
        <v>https://tablet.otzar.org/#/book/157071/p/-1/t/1/fs/0/start/0/end/0/c</v>
      </c>
    </row>
    <row r="283" spans="1:8" x14ac:dyDescent="0.25">
      <c r="A283">
        <v>157014</v>
      </c>
      <c r="B283" t="s">
        <v>631</v>
      </c>
      <c r="C283" t="s">
        <v>246</v>
      </c>
      <c r="D283" t="s">
        <v>10</v>
      </c>
      <c r="E283" t="s">
        <v>227</v>
      </c>
      <c r="G283" t="str">
        <f>HYPERLINK(_xlfn.CONCAT("https://tablet.otzar.org/",CHAR(35),"/book/157014/p/-1/t/1/fs/0/start/0/end/0/c"),"כללי התלמוד בדברי הרמב""""ן")</f>
        <v>כללי התלמוד בדברי הרמב""ן</v>
      </c>
      <c r="H283" t="str">
        <f>_xlfn.CONCAT("https://tablet.otzar.org/",CHAR(35),"/book/157014/p/-1/t/1/fs/0/start/0/end/0/c")</f>
        <v>https://tablet.otzar.org/#/book/157014/p/-1/t/1/fs/0/start/0/end/0/c</v>
      </c>
    </row>
    <row r="284" spans="1:8" x14ac:dyDescent="0.25">
      <c r="A284">
        <v>159751</v>
      </c>
      <c r="B284" t="s">
        <v>632</v>
      </c>
      <c r="C284" t="s">
        <v>633</v>
      </c>
      <c r="D284" t="s">
        <v>10</v>
      </c>
      <c r="E284" t="s">
        <v>153</v>
      </c>
      <c r="F284" t="s">
        <v>29</v>
      </c>
      <c r="G284" t="str">
        <f>HYPERLINK(_xlfn.CONCAT("https://tablet.otzar.org/",CHAR(35),"/book/159751/p/-1/t/1/fs/0/start/0/end/0/c"),"כפתור ופרח &lt;פרחי ציון&gt; מוסד הרב קוק")</f>
        <v>כפתור ופרח &lt;פרחי ציון&gt; מוסד הרב קוק</v>
      </c>
      <c r="H284" t="str">
        <f>_xlfn.CONCAT("https://tablet.otzar.org/",CHAR(35),"/book/159751/p/-1/t/1/fs/0/start/0/end/0/c")</f>
        <v>https://tablet.otzar.org/#/book/159751/p/-1/t/1/fs/0/start/0/end/0/c</v>
      </c>
    </row>
    <row r="285" spans="1:8" x14ac:dyDescent="0.25">
      <c r="A285">
        <v>157365</v>
      </c>
      <c r="B285" t="s">
        <v>634</v>
      </c>
      <c r="C285" t="s">
        <v>635</v>
      </c>
      <c r="D285" t="s">
        <v>10</v>
      </c>
      <c r="E285" t="s">
        <v>636</v>
      </c>
      <c r="F285" t="s">
        <v>59</v>
      </c>
      <c r="G285" t="str">
        <f>HYPERLINK(_xlfn.CONCAT("https://tablet.otzar.org/",CHAR(35),"/book/157365/p/-1/t/1/fs/0/start/0/end/0/c"),"כרם רידב""""ז")</f>
        <v>כרם רידב""ז</v>
      </c>
      <c r="H285" t="str">
        <f>_xlfn.CONCAT("https://tablet.otzar.org/",CHAR(35),"/book/157365/p/-1/t/1/fs/0/start/0/end/0/c")</f>
        <v>https://tablet.otzar.org/#/book/157365/p/-1/t/1/fs/0/start/0/end/0/c</v>
      </c>
    </row>
    <row r="286" spans="1:8" x14ac:dyDescent="0.25">
      <c r="A286">
        <v>155552</v>
      </c>
      <c r="B286" t="s">
        <v>637</v>
      </c>
      <c r="C286" t="s">
        <v>638</v>
      </c>
      <c r="D286" t="s">
        <v>10</v>
      </c>
      <c r="E286" t="s">
        <v>240</v>
      </c>
      <c r="F286" t="s">
        <v>55</v>
      </c>
      <c r="G286" t="str">
        <f>HYPERLINK(_xlfn.CONCAT("https://tablet.otzar.org/",CHAR(35),"/exKotar/155552"),"כתבי הרב נתן פרידלאנד - 2 כרכים")</f>
        <v>כתבי הרב נתן פרידלאנד - 2 כרכים</v>
      </c>
      <c r="H286" t="str">
        <f>_xlfn.CONCAT("https://tablet.otzar.org/",CHAR(35),"/exKotar/155552")</f>
        <v>https://tablet.otzar.org/#/exKotar/155552</v>
      </c>
    </row>
    <row r="287" spans="1:8" x14ac:dyDescent="0.25">
      <c r="A287">
        <v>155179</v>
      </c>
      <c r="B287" t="s">
        <v>639</v>
      </c>
      <c r="C287" t="s">
        <v>640</v>
      </c>
      <c r="D287" t="s">
        <v>10</v>
      </c>
      <c r="E287" t="s">
        <v>405</v>
      </c>
      <c r="F287" t="s">
        <v>23</v>
      </c>
      <c r="G287" t="str">
        <f>HYPERLINK(_xlfn.CONCAT("https://tablet.otzar.org/",CHAR(35),"/exKotar/155179"),"כתבי מהר""""ל מפראג - 2 כרכים")</f>
        <v>כתבי מהר""ל מפראג - 2 כרכים</v>
      </c>
      <c r="H287" t="str">
        <f>_xlfn.CONCAT("https://tablet.otzar.org/",CHAR(35),"/exKotar/155179")</f>
        <v>https://tablet.otzar.org/#/exKotar/155179</v>
      </c>
    </row>
    <row r="288" spans="1:8" x14ac:dyDescent="0.25">
      <c r="A288">
        <v>156216</v>
      </c>
      <c r="B288" t="s">
        <v>641</v>
      </c>
      <c r="C288" t="s">
        <v>642</v>
      </c>
      <c r="D288" t="s">
        <v>10</v>
      </c>
      <c r="E288" t="s">
        <v>643</v>
      </c>
      <c r="F288" t="s">
        <v>158</v>
      </c>
      <c r="G288" t="str">
        <f>HYPERLINK(_xlfn.CONCAT("https://tablet.otzar.org/",CHAR(35),"/exKotar/156216"),"כתבי ר' אברהם אפשטיין - 2 כרכים")</f>
        <v>כתבי ר' אברהם אפשטיין - 2 כרכים</v>
      </c>
      <c r="H288" t="str">
        <f>_xlfn.CONCAT("https://tablet.otzar.org/",CHAR(35),"/exKotar/156216")</f>
        <v>https://tablet.otzar.org/#/exKotar/156216</v>
      </c>
    </row>
    <row r="289" spans="1:8" x14ac:dyDescent="0.25">
      <c r="A289">
        <v>157316</v>
      </c>
      <c r="B289" t="s">
        <v>644</v>
      </c>
      <c r="C289" t="s">
        <v>645</v>
      </c>
      <c r="D289" t="s">
        <v>10</v>
      </c>
      <c r="E289" t="s">
        <v>78</v>
      </c>
      <c r="F289" t="s">
        <v>158</v>
      </c>
      <c r="G289" t="str">
        <f>HYPERLINK(_xlfn.CONCAT("https://tablet.otzar.org/",CHAR(35),"/book/157316/p/-1/t/1/fs/0/start/0/end/0/c"),"כתבי רבי מאיר בר - אילן - א")</f>
        <v>כתבי רבי מאיר בר - אילן - א</v>
      </c>
      <c r="H289" t="str">
        <f>_xlfn.CONCAT("https://tablet.otzar.org/",CHAR(35),"/book/157316/p/-1/t/1/fs/0/start/0/end/0/c")</f>
        <v>https://tablet.otzar.org/#/book/157316/p/-1/t/1/fs/0/start/0/end/0/c</v>
      </c>
    </row>
    <row r="290" spans="1:8" x14ac:dyDescent="0.25">
      <c r="A290">
        <v>155124</v>
      </c>
      <c r="B290" t="s">
        <v>646</v>
      </c>
      <c r="C290" t="s">
        <v>199</v>
      </c>
      <c r="D290" t="s">
        <v>10</v>
      </c>
      <c r="E290" t="s">
        <v>592</v>
      </c>
      <c r="F290" t="s">
        <v>647</v>
      </c>
      <c r="G290" t="str">
        <f>HYPERLINK(_xlfn.CONCAT("https://tablet.otzar.org/",CHAR(35),"/book/155124/p/-1/t/1/fs/0/start/0/end/0/c"),"כתבי רבי עובדיה ספורנו")</f>
        <v>כתבי רבי עובדיה ספורנו</v>
      </c>
      <c r="H290" t="str">
        <f>_xlfn.CONCAT("https://tablet.otzar.org/",CHAR(35),"/book/155124/p/-1/t/1/fs/0/start/0/end/0/c")</f>
        <v>https://tablet.otzar.org/#/book/155124/p/-1/t/1/fs/0/start/0/end/0/c</v>
      </c>
    </row>
    <row r="291" spans="1:8" x14ac:dyDescent="0.25">
      <c r="A291">
        <v>155302</v>
      </c>
      <c r="B291" t="s">
        <v>648</v>
      </c>
      <c r="C291" t="s">
        <v>649</v>
      </c>
      <c r="D291" t="s">
        <v>10</v>
      </c>
      <c r="E291" t="s">
        <v>120</v>
      </c>
      <c r="F291" t="s">
        <v>650</v>
      </c>
      <c r="G291" t="str">
        <f>HYPERLINK(_xlfn.CONCAT("https://tablet.otzar.org/",CHAR(35),"/book/155302/p/-1/t/1/fs/0/start/0/end/0/c"),"כתבי רבינו בחיי - כד הקמח, שלחן של ארבע, פרקי אבות")</f>
        <v>כתבי רבינו בחיי - כד הקמח, שלחן של ארבע, פרקי אבות</v>
      </c>
      <c r="H291" t="str">
        <f>_xlfn.CONCAT("https://tablet.otzar.org/",CHAR(35),"/book/155302/p/-1/t/1/fs/0/start/0/end/0/c")</f>
        <v>https://tablet.otzar.org/#/book/155302/p/-1/t/1/fs/0/start/0/end/0/c</v>
      </c>
    </row>
    <row r="292" spans="1:8" x14ac:dyDescent="0.25">
      <c r="A292">
        <v>155052</v>
      </c>
      <c r="B292" t="s">
        <v>651</v>
      </c>
      <c r="C292" t="s">
        <v>546</v>
      </c>
      <c r="D292" t="s">
        <v>10</v>
      </c>
      <c r="E292" t="s">
        <v>314</v>
      </c>
      <c r="F292" t="s">
        <v>652</v>
      </c>
      <c r="G292" t="str">
        <f>HYPERLINK(_xlfn.CONCAT("https://tablet.otzar.org/",CHAR(35),"/exKotar/155052"),"כתבי רבינו משה בן נחמן (רמב""""ן) א &lt;מוה""""ק&gt; - 2 כרכים")</f>
        <v>כתבי רבינו משה בן נחמן (רמב""ן) א &lt;מוה""ק&gt; - 2 כרכים</v>
      </c>
      <c r="H292" t="str">
        <f>_xlfn.CONCAT("https://tablet.otzar.org/",CHAR(35),"/exKotar/155052")</f>
        <v>https://tablet.otzar.org/#/exKotar/155052</v>
      </c>
    </row>
    <row r="293" spans="1:8" x14ac:dyDescent="0.25">
      <c r="A293">
        <v>155173</v>
      </c>
      <c r="B293" t="s">
        <v>653</v>
      </c>
      <c r="C293" t="s">
        <v>441</v>
      </c>
      <c r="D293" t="s">
        <v>10</v>
      </c>
      <c r="E293" t="s">
        <v>654</v>
      </c>
      <c r="F293" t="s">
        <v>23</v>
      </c>
      <c r="G293" t="str">
        <f>HYPERLINK(_xlfn.CONCAT("https://tablet.otzar.org/",CHAR(35),"/exKotar/155173"),"כתבים רפואיים - 4 כרכים")</f>
        <v>כתבים רפואיים - 4 כרכים</v>
      </c>
      <c r="H293" t="str">
        <f>_xlfn.CONCAT("https://tablet.otzar.org/",CHAR(35),"/exKotar/155173")</f>
        <v>https://tablet.otzar.org/#/exKotar/155173</v>
      </c>
    </row>
    <row r="294" spans="1:8" x14ac:dyDescent="0.25">
      <c r="A294">
        <v>158454</v>
      </c>
      <c r="B294" t="s">
        <v>655</v>
      </c>
      <c r="C294" t="s">
        <v>302</v>
      </c>
      <c r="D294" t="s">
        <v>10</v>
      </c>
      <c r="E294" t="s">
        <v>18</v>
      </c>
      <c r="F294" t="s">
        <v>76</v>
      </c>
      <c r="G294" t="str">
        <f>HYPERLINK(_xlfn.CONCAT("https://tablet.otzar.org/",CHAR(35),"/book/158454/p/-1/t/1/fs/0/start/0/end/0/c"),"כתר ארם צובה והנוסח המקובל של המקרא")</f>
        <v>כתר ארם צובה והנוסח המקובל של המקרא</v>
      </c>
      <c r="H294" t="str">
        <f>_xlfn.CONCAT("https://tablet.otzar.org/",CHAR(35),"/book/158454/p/-1/t/1/fs/0/start/0/end/0/c")</f>
        <v>https://tablet.otzar.org/#/book/158454/p/-1/t/1/fs/0/start/0/end/0/c</v>
      </c>
    </row>
    <row r="295" spans="1:8" x14ac:dyDescent="0.25">
      <c r="A295">
        <v>157046</v>
      </c>
      <c r="B295" t="s">
        <v>656</v>
      </c>
      <c r="C295" t="s">
        <v>657</v>
      </c>
      <c r="D295" t="s">
        <v>10</v>
      </c>
      <c r="E295" t="s">
        <v>278</v>
      </c>
      <c r="G295" t="str">
        <f>HYPERLINK(_xlfn.CONCAT("https://tablet.otzar.org/",CHAR(35),"/book/157046/p/-1/t/1/fs/0/start/0/end/0/c"),"לאור ההלכה")</f>
        <v>לאור ההלכה</v>
      </c>
      <c r="H295" t="str">
        <f>_xlfn.CONCAT("https://tablet.otzar.org/",CHAR(35),"/book/157046/p/-1/t/1/fs/0/start/0/end/0/c")</f>
        <v>https://tablet.otzar.org/#/book/157046/p/-1/t/1/fs/0/start/0/end/0/c</v>
      </c>
    </row>
    <row r="296" spans="1:8" x14ac:dyDescent="0.25">
      <c r="A296">
        <v>155202</v>
      </c>
      <c r="B296" t="s">
        <v>658</v>
      </c>
      <c r="C296" t="s">
        <v>659</v>
      </c>
      <c r="D296" t="s">
        <v>10</v>
      </c>
      <c r="E296" t="s">
        <v>84</v>
      </c>
      <c r="F296" t="s">
        <v>59</v>
      </c>
      <c r="G296" t="str">
        <f>HYPERLINK(_xlfn.CONCAT("https://tablet.otzar.org/",CHAR(35),"/book/155202/p/-1/t/1/fs/0/start/0/end/0/c"),"לב שלמה")</f>
        <v>לב שלמה</v>
      </c>
      <c r="H296" t="str">
        <f>_xlfn.CONCAT("https://tablet.otzar.org/",CHAR(35),"/book/155202/p/-1/t/1/fs/0/start/0/end/0/c")</f>
        <v>https://tablet.otzar.org/#/book/155202/p/-1/t/1/fs/0/start/0/end/0/c</v>
      </c>
    </row>
    <row r="297" spans="1:8" x14ac:dyDescent="0.25">
      <c r="A297">
        <v>677755</v>
      </c>
      <c r="B297" t="s">
        <v>660</v>
      </c>
      <c r="C297" t="s">
        <v>261</v>
      </c>
      <c r="D297" t="s">
        <v>10</v>
      </c>
      <c r="E297" t="s">
        <v>215</v>
      </c>
      <c r="F297" t="s">
        <v>85</v>
      </c>
      <c r="G297" t="str">
        <f>HYPERLINK(_xlfn.CONCAT("https://tablet.otzar.org/",CHAR(35),"/book/677755/p/-1/t/1/fs/0/start/0/end/0/c"),"לדרך טעמי המצות")</f>
        <v>לדרך טעמי המצות</v>
      </c>
      <c r="H297" t="str">
        <f>_xlfn.CONCAT("https://tablet.otzar.org/",CHAR(35),"/book/677755/p/-1/t/1/fs/0/start/0/end/0/c")</f>
        <v>https://tablet.otzar.org/#/book/677755/p/-1/t/1/fs/0/start/0/end/0/c</v>
      </c>
    </row>
    <row r="298" spans="1:8" x14ac:dyDescent="0.25">
      <c r="A298">
        <v>157383</v>
      </c>
      <c r="B298" t="s">
        <v>661</v>
      </c>
      <c r="C298" t="s">
        <v>662</v>
      </c>
      <c r="D298" t="s">
        <v>10</v>
      </c>
      <c r="E298" t="s">
        <v>32</v>
      </c>
      <c r="F298" t="s">
        <v>23</v>
      </c>
      <c r="G298" t="str">
        <f>HYPERLINK(_xlfn.CONCAT("https://tablet.otzar.org/",CHAR(35),"/book/157383/p/-1/t/1/fs/0/start/0/end/0/c"),"לוח לששת אלפים שנה")</f>
        <v>לוח לששת אלפים שנה</v>
      </c>
      <c r="H298" t="str">
        <f>_xlfn.CONCAT("https://tablet.otzar.org/",CHAR(35),"/book/157383/p/-1/t/1/fs/0/start/0/end/0/c")</f>
        <v>https://tablet.otzar.org/#/book/157383/p/-1/t/1/fs/0/start/0/end/0/c</v>
      </c>
    </row>
    <row r="299" spans="1:8" x14ac:dyDescent="0.25">
      <c r="A299">
        <v>169987</v>
      </c>
      <c r="B299" t="s">
        <v>663</v>
      </c>
      <c r="C299" t="s">
        <v>664</v>
      </c>
      <c r="D299" t="s">
        <v>10</v>
      </c>
      <c r="E299" t="s">
        <v>172</v>
      </c>
      <c r="F299" t="s">
        <v>135</v>
      </c>
      <c r="G299" t="str">
        <f>HYPERLINK(_xlfn.CONCAT("https://tablet.otzar.org/",CHAR(35),"/book/169987/p/-1/t/1/fs/0/start/0/end/0/c"),"ליקוטי אבידה")</f>
        <v>ליקוטי אבידה</v>
      </c>
      <c r="H299" t="str">
        <f>_xlfn.CONCAT("https://tablet.otzar.org/",CHAR(35),"/book/169987/p/-1/t/1/fs/0/start/0/end/0/c")</f>
        <v>https://tablet.otzar.org/#/book/169987/p/-1/t/1/fs/0/start/0/end/0/c</v>
      </c>
    </row>
    <row r="300" spans="1:8" x14ac:dyDescent="0.25">
      <c r="A300">
        <v>156275</v>
      </c>
      <c r="B300" t="s">
        <v>665</v>
      </c>
      <c r="C300" t="s">
        <v>479</v>
      </c>
      <c r="D300" t="s">
        <v>10</v>
      </c>
      <c r="E300" t="s">
        <v>408</v>
      </c>
      <c r="F300" t="s">
        <v>666</v>
      </c>
      <c r="G300" t="str">
        <f>HYPERLINK(_xlfn.CONCAT("https://tablet.otzar.org/",CHAR(35),"/book/156275/p/-1/t/1/fs/0/start/0/end/0/c"),"לכבוד יום טוב")</f>
        <v>לכבוד יום טוב</v>
      </c>
      <c r="H300" t="str">
        <f>_xlfn.CONCAT("https://tablet.otzar.org/",CHAR(35),"/book/156275/p/-1/t/1/fs/0/start/0/end/0/c")</f>
        <v>https://tablet.otzar.org/#/book/156275/p/-1/t/1/fs/0/start/0/end/0/c</v>
      </c>
    </row>
    <row r="301" spans="1:8" x14ac:dyDescent="0.25">
      <c r="A301">
        <v>170012</v>
      </c>
      <c r="B301" t="s">
        <v>667</v>
      </c>
      <c r="C301" t="s">
        <v>668</v>
      </c>
      <c r="D301" t="s">
        <v>10</v>
      </c>
      <c r="E301" t="s">
        <v>325</v>
      </c>
      <c r="F301" t="s">
        <v>19</v>
      </c>
      <c r="G301" t="str">
        <f>HYPERLINK(_xlfn.CONCAT("https://tablet.otzar.org/",CHAR(35),"/book/170012/p/-1/t/1/fs/0/start/0/end/0/c"),"לכתך אחרי במדבר")</f>
        <v>לכתך אחרי במדבר</v>
      </c>
      <c r="H301" t="str">
        <f>_xlfn.CONCAT("https://tablet.otzar.org/",CHAR(35),"/book/170012/p/-1/t/1/fs/0/start/0/end/0/c")</f>
        <v>https://tablet.otzar.org/#/book/170012/p/-1/t/1/fs/0/start/0/end/0/c</v>
      </c>
    </row>
    <row r="302" spans="1:8" x14ac:dyDescent="0.25">
      <c r="A302">
        <v>157062</v>
      </c>
      <c r="B302" t="s">
        <v>669</v>
      </c>
      <c r="C302" t="s">
        <v>670</v>
      </c>
      <c r="D302" t="s">
        <v>10</v>
      </c>
      <c r="E302" t="s">
        <v>78</v>
      </c>
      <c r="F302" t="s">
        <v>85</v>
      </c>
      <c r="G302" t="str">
        <f>HYPERLINK(_xlfn.CONCAT("https://tablet.otzar.org/",CHAR(35),"/book/157062/p/-1/t/1/fs/0/start/0/end/0/c"),"ללשונות הרמב""""ם - א")</f>
        <v>ללשונות הרמב""ם - א</v>
      </c>
      <c r="H302" t="str">
        <f>_xlfn.CONCAT("https://tablet.otzar.org/",CHAR(35),"/book/157062/p/-1/t/1/fs/0/start/0/end/0/c")</f>
        <v>https://tablet.otzar.org/#/book/157062/p/-1/t/1/fs/0/start/0/end/0/c</v>
      </c>
    </row>
    <row r="303" spans="1:8" x14ac:dyDescent="0.25">
      <c r="A303">
        <v>156225</v>
      </c>
      <c r="B303" t="s">
        <v>671</v>
      </c>
      <c r="C303" t="s">
        <v>14</v>
      </c>
      <c r="D303" t="s">
        <v>10</v>
      </c>
      <c r="E303" t="s">
        <v>68</v>
      </c>
      <c r="F303" t="s">
        <v>12</v>
      </c>
      <c r="G303" t="str">
        <f>HYPERLINK(_xlfn.CONCAT("https://tablet.otzar.org/",CHAR(35),"/exKotar/156225"),"למען ציון לא אחשה - 2 כרכים")</f>
        <v>למען ציון לא אחשה - 2 כרכים</v>
      </c>
      <c r="H303" t="str">
        <f>_xlfn.CONCAT("https://tablet.otzar.org/",CHAR(35),"/exKotar/156225")</f>
        <v>https://tablet.otzar.org/#/exKotar/156225</v>
      </c>
    </row>
    <row r="304" spans="1:8" x14ac:dyDescent="0.25">
      <c r="A304">
        <v>677753</v>
      </c>
      <c r="B304" t="s">
        <v>672</v>
      </c>
      <c r="C304" t="s">
        <v>21</v>
      </c>
      <c r="D304" t="s">
        <v>10</v>
      </c>
      <c r="E304" t="s">
        <v>215</v>
      </c>
      <c r="F304" t="s">
        <v>673</v>
      </c>
      <c r="G304" t="str">
        <f>HYPERLINK(_xlfn.CONCAT("https://tablet.otzar.org/",CHAR(35),"/book/677753/p/-1/t/1/fs/0/start/0/end/0/c"),"לפני ולפנים")</f>
        <v>לפני ולפנים</v>
      </c>
      <c r="H304" t="str">
        <f>_xlfn.CONCAT("https://tablet.otzar.org/",CHAR(35),"/book/677753/p/-1/t/1/fs/0/start/0/end/0/c")</f>
        <v>https://tablet.otzar.org/#/book/677753/p/-1/t/1/fs/0/start/0/end/0/c</v>
      </c>
    </row>
    <row r="305" spans="1:8" x14ac:dyDescent="0.25">
      <c r="A305">
        <v>155362</v>
      </c>
      <c r="B305" t="s">
        <v>674</v>
      </c>
      <c r="C305" t="s">
        <v>675</v>
      </c>
      <c r="D305" t="s">
        <v>10</v>
      </c>
      <c r="E305" t="s">
        <v>46</v>
      </c>
      <c r="F305" t="s">
        <v>218</v>
      </c>
      <c r="G305" t="str">
        <f>HYPERLINK(_xlfn.CONCAT("https://tablet.otzar.org/",CHAR(35),"/book/155362/p/-1/t/1/fs/0/start/0/end/0/c"),"לקט ראשונים על מסכת סוטה")</f>
        <v>לקט ראשונים על מסכת סוטה</v>
      </c>
      <c r="H305" t="str">
        <f>_xlfn.CONCAT("https://tablet.otzar.org/",CHAR(35),"/book/155362/p/-1/t/1/fs/0/start/0/end/0/c")</f>
        <v>https://tablet.otzar.org/#/book/155362/p/-1/t/1/fs/0/start/0/end/0/c</v>
      </c>
    </row>
    <row r="306" spans="1:8" x14ac:dyDescent="0.25">
      <c r="A306">
        <v>157044</v>
      </c>
      <c r="B306" t="s">
        <v>676</v>
      </c>
      <c r="C306" t="s">
        <v>677</v>
      </c>
      <c r="D306" t="s">
        <v>10</v>
      </c>
      <c r="E306" t="s">
        <v>421</v>
      </c>
      <c r="F306" t="s">
        <v>507</v>
      </c>
      <c r="G306" t="str">
        <f>HYPERLINK(_xlfn.CONCAT("https://tablet.otzar.org/",CHAR(35),"/book/157044/p/-1/t/1/fs/0/start/0/end/0/c"),"לשון למודים")</f>
        <v>לשון למודים</v>
      </c>
      <c r="H306" t="str">
        <f>_xlfn.CONCAT("https://tablet.otzar.org/",CHAR(35),"/book/157044/p/-1/t/1/fs/0/start/0/end/0/c")</f>
        <v>https://tablet.otzar.org/#/book/157044/p/-1/t/1/fs/0/start/0/end/0/c</v>
      </c>
    </row>
    <row r="307" spans="1:8" x14ac:dyDescent="0.25">
      <c r="A307">
        <v>156273</v>
      </c>
      <c r="B307" t="s">
        <v>678</v>
      </c>
      <c r="C307" t="s">
        <v>14</v>
      </c>
      <c r="D307" t="s">
        <v>10</v>
      </c>
      <c r="E307" t="s">
        <v>15</v>
      </c>
      <c r="F307" t="s">
        <v>23</v>
      </c>
      <c r="G307" t="str">
        <f>HYPERLINK(_xlfn.CONCAT("https://tablet.otzar.org/",CHAR(35),"/book/156273/p/-1/t/1/fs/0/start/0/end/0/c"),"לשעה ולדור")</f>
        <v>לשעה ולדור</v>
      </c>
      <c r="H307" t="str">
        <f>_xlfn.CONCAT("https://tablet.otzar.org/",CHAR(35),"/book/156273/p/-1/t/1/fs/0/start/0/end/0/c")</f>
        <v>https://tablet.otzar.org/#/book/156273/p/-1/t/1/fs/0/start/0/end/0/c</v>
      </c>
    </row>
    <row r="308" spans="1:8" x14ac:dyDescent="0.25">
      <c r="A308">
        <v>156299</v>
      </c>
      <c r="B308" t="s">
        <v>679</v>
      </c>
      <c r="C308" t="s">
        <v>513</v>
      </c>
      <c r="D308" t="s">
        <v>10</v>
      </c>
      <c r="E308" t="s">
        <v>126</v>
      </c>
      <c r="F308" t="s">
        <v>12</v>
      </c>
      <c r="G308" t="str">
        <f>HYPERLINK(_xlfn.CONCAT("https://tablet.otzar.org/",CHAR(35),"/book/156299/p/-1/t/1/fs/0/start/0/end/0/c"),"לתולדות הקהילות בפולין")</f>
        <v>לתולדות הקהילות בפולין</v>
      </c>
      <c r="H308" t="str">
        <f>_xlfn.CONCAT("https://tablet.otzar.org/",CHAR(35),"/book/156299/p/-1/t/1/fs/0/start/0/end/0/c")</f>
        <v>https://tablet.otzar.org/#/book/156299/p/-1/t/1/fs/0/start/0/end/0/c</v>
      </c>
    </row>
    <row r="309" spans="1:8" x14ac:dyDescent="0.25">
      <c r="A309">
        <v>156999</v>
      </c>
      <c r="B309" t="s">
        <v>680</v>
      </c>
      <c r="C309" t="s">
        <v>681</v>
      </c>
      <c r="D309" t="s">
        <v>10</v>
      </c>
      <c r="E309" t="s">
        <v>682</v>
      </c>
      <c r="F309" t="s">
        <v>12</v>
      </c>
      <c r="G309" t="str">
        <f>HYPERLINK(_xlfn.CONCAT("https://tablet.otzar.org/",CHAR(35),"/book/156999/p/-1/t/1/fs/0/start/0/end/0/c"),"לתולדות הקהלה האשכנזית בארץ - ישראל")</f>
        <v>לתולדות הקהלה האשכנזית בארץ - ישראל</v>
      </c>
      <c r="H309" t="str">
        <f>_xlfn.CONCAT("https://tablet.otzar.org/",CHAR(35),"/book/156999/p/-1/t/1/fs/0/start/0/end/0/c")</f>
        <v>https://tablet.otzar.org/#/book/156999/p/-1/t/1/fs/0/start/0/end/0/c</v>
      </c>
    </row>
    <row r="310" spans="1:8" x14ac:dyDescent="0.25">
      <c r="A310">
        <v>155169</v>
      </c>
      <c r="B310" t="s">
        <v>683</v>
      </c>
      <c r="C310" t="s">
        <v>61</v>
      </c>
      <c r="D310" t="s">
        <v>10</v>
      </c>
      <c r="E310" t="s">
        <v>92</v>
      </c>
      <c r="F310" t="s">
        <v>684</v>
      </c>
      <c r="G310" t="str">
        <f>HYPERLINK(_xlfn.CONCAT("https://tablet.otzar.org/",CHAR(35),"/book/155169/p/-1/t/1/fs/0/start/0/end/0/c"),"מאורות הגר""""א")</f>
        <v>מאורות הגר""א</v>
      </c>
      <c r="H310" t="str">
        <f>_xlfn.CONCAT("https://tablet.otzar.org/",CHAR(35),"/book/155169/p/-1/t/1/fs/0/start/0/end/0/c")</f>
        <v>https://tablet.otzar.org/#/book/155169/p/-1/t/1/fs/0/start/0/end/0/c</v>
      </c>
    </row>
    <row r="311" spans="1:8" x14ac:dyDescent="0.25">
      <c r="A311">
        <v>157040</v>
      </c>
      <c r="B311" t="s">
        <v>685</v>
      </c>
      <c r="C311" t="s">
        <v>686</v>
      </c>
      <c r="D311" t="s">
        <v>10</v>
      </c>
      <c r="E311" t="s">
        <v>126</v>
      </c>
      <c r="F311" t="s">
        <v>687</v>
      </c>
      <c r="G311" t="str">
        <f>HYPERLINK(_xlfn.CONCAT("https://tablet.otzar.org/",CHAR(35),"/book/157040/p/-1/t/1/fs/0/start/0/end/0/c"),"מאמרות")</f>
        <v>מאמרות</v>
      </c>
      <c r="H311" t="str">
        <f>_xlfn.CONCAT("https://tablet.otzar.org/",CHAR(35),"/book/157040/p/-1/t/1/fs/0/start/0/end/0/c")</f>
        <v>https://tablet.otzar.org/#/book/157040/p/-1/t/1/fs/0/start/0/end/0/c</v>
      </c>
    </row>
    <row r="312" spans="1:8" x14ac:dyDescent="0.25">
      <c r="A312">
        <v>601565</v>
      </c>
      <c r="B312" t="s">
        <v>688</v>
      </c>
      <c r="C312" t="s">
        <v>689</v>
      </c>
      <c r="D312" t="s">
        <v>10</v>
      </c>
      <c r="E312" t="s">
        <v>187</v>
      </c>
      <c r="F312" t="s">
        <v>23</v>
      </c>
      <c r="G312" t="str">
        <f>HYPERLINK(_xlfn.CONCAT("https://tablet.otzar.org/",CHAR(35),"/exKotar/601565"),"מאמרי טוביה - 7 כרכים")</f>
        <v>מאמרי טוביה - 7 כרכים</v>
      </c>
      <c r="H312" t="str">
        <f>_xlfn.CONCAT("https://tablet.otzar.org/",CHAR(35),"/exKotar/601565")</f>
        <v>https://tablet.otzar.org/#/exKotar/601565</v>
      </c>
    </row>
    <row r="313" spans="1:8" x14ac:dyDescent="0.25">
      <c r="A313">
        <v>684655</v>
      </c>
      <c r="B313" t="s">
        <v>690</v>
      </c>
      <c r="C313" t="s">
        <v>481</v>
      </c>
      <c r="D313" t="s">
        <v>10</v>
      </c>
      <c r="E313" t="s">
        <v>215</v>
      </c>
      <c r="F313" t="s">
        <v>55</v>
      </c>
      <c r="G313" t="str">
        <f>HYPERLINK(_xlfn.CONCAT("https://tablet.otzar.org/",CHAR(35),"/book/684655/p/-1/t/1/fs/0/start/0/end/0/c"),"מבוא למדע האלהי")</f>
        <v>מבוא למדע האלהי</v>
      </c>
      <c r="H313" t="str">
        <f>_xlfn.CONCAT("https://tablet.otzar.org/",CHAR(35),"/book/684655/p/-1/t/1/fs/0/start/0/end/0/c")</f>
        <v>https://tablet.otzar.org/#/book/684655/p/-1/t/1/fs/0/start/0/end/0/c</v>
      </c>
    </row>
    <row r="314" spans="1:8" x14ac:dyDescent="0.25">
      <c r="A314">
        <v>677754</v>
      </c>
      <c r="B314" t="s">
        <v>691</v>
      </c>
      <c r="C314" t="s">
        <v>692</v>
      </c>
      <c r="D314" t="s">
        <v>10</v>
      </c>
      <c r="E314" t="s">
        <v>215</v>
      </c>
      <c r="F314" t="s">
        <v>23</v>
      </c>
      <c r="G314" t="str">
        <f>HYPERLINK(_xlfn.CONCAT("https://tablet.otzar.org/",CHAR(35),"/book/677754/p/-1/t/1/fs/0/start/0/end/0/c"),"מבוא למדע האלקי")</f>
        <v>מבוא למדע האלקי</v>
      </c>
      <c r="H314" t="str">
        <f>_xlfn.CONCAT("https://tablet.otzar.org/",CHAR(35),"/book/677754/p/-1/t/1/fs/0/start/0/end/0/c")</f>
        <v>https://tablet.otzar.org/#/book/677754/p/-1/t/1/fs/0/start/0/end/0/c</v>
      </c>
    </row>
    <row r="315" spans="1:8" x14ac:dyDescent="0.25">
      <c r="A315">
        <v>156199</v>
      </c>
      <c r="B315" t="s">
        <v>693</v>
      </c>
      <c r="C315" t="s">
        <v>329</v>
      </c>
      <c r="D315" t="s">
        <v>10</v>
      </c>
      <c r="E315" t="s">
        <v>579</v>
      </c>
      <c r="F315" t="s">
        <v>23</v>
      </c>
      <c r="G315" t="str">
        <f>HYPERLINK(_xlfn.CONCAT("https://tablet.otzar.org/",CHAR(35),"/book/156199/p/-1/t/1/fs/0/start/0/end/0/c"),"מבוקר לערב")</f>
        <v>מבוקר לערב</v>
      </c>
      <c r="H315" t="str">
        <f>_xlfn.CONCAT("https://tablet.otzar.org/",CHAR(35),"/book/156199/p/-1/t/1/fs/0/start/0/end/0/c")</f>
        <v>https://tablet.otzar.org/#/book/156199/p/-1/t/1/fs/0/start/0/end/0/c</v>
      </c>
    </row>
    <row r="316" spans="1:8" x14ac:dyDescent="0.25">
      <c r="A316">
        <v>157326</v>
      </c>
      <c r="B316" t="s">
        <v>694</v>
      </c>
      <c r="C316" t="s">
        <v>694</v>
      </c>
      <c r="D316" t="s">
        <v>10</v>
      </c>
      <c r="E316" t="s">
        <v>265</v>
      </c>
      <c r="F316" t="s">
        <v>23</v>
      </c>
      <c r="G316" t="str">
        <f>HYPERLINK(_xlfn.CONCAT("https://tablet.otzar.org/",CHAR(35),"/book/157326/p/-1/t/1/fs/0/start/0/end/0/c"),"מבחר המסה והמאמר")</f>
        <v>מבחר המסה והמאמר</v>
      </c>
      <c r="H316" t="str">
        <f>_xlfn.CONCAT("https://tablet.otzar.org/",CHAR(35),"/book/157326/p/-1/t/1/fs/0/start/0/end/0/c")</f>
        <v>https://tablet.otzar.org/#/book/157326/p/-1/t/1/fs/0/start/0/end/0/c</v>
      </c>
    </row>
    <row r="317" spans="1:8" x14ac:dyDescent="0.25">
      <c r="A317">
        <v>157327</v>
      </c>
      <c r="B317" t="s">
        <v>695</v>
      </c>
      <c r="C317" t="s">
        <v>696</v>
      </c>
      <c r="D317" t="s">
        <v>10</v>
      </c>
      <c r="E317" t="s">
        <v>54</v>
      </c>
      <c r="F317" t="s">
        <v>322</v>
      </c>
      <c r="G317" t="str">
        <f>HYPERLINK(_xlfn.CONCAT("https://tablet.otzar.org/",CHAR(35),"/book/157327/p/-1/t/1/fs/0/start/0/end/0/c"),"מבחר הפיוט והשירה של ימי הבינים")</f>
        <v>מבחר הפיוט והשירה של ימי הבינים</v>
      </c>
      <c r="H317" t="str">
        <f>_xlfn.CONCAT("https://tablet.otzar.org/",CHAR(35),"/book/157327/p/-1/t/1/fs/0/start/0/end/0/c")</f>
        <v>https://tablet.otzar.org/#/book/157327/p/-1/t/1/fs/0/start/0/end/0/c</v>
      </c>
    </row>
    <row r="318" spans="1:8" x14ac:dyDescent="0.25">
      <c r="A318">
        <v>156331</v>
      </c>
      <c r="B318" t="s">
        <v>697</v>
      </c>
      <c r="C318" t="s">
        <v>698</v>
      </c>
      <c r="D318" t="s">
        <v>10</v>
      </c>
      <c r="E318" t="s">
        <v>533</v>
      </c>
      <c r="F318" t="s">
        <v>158</v>
      </c>
      <c r="G318" t="str">
        <f>HYPERLINK(_xlfn.CONCAT("https://tablet.otzar.org/",CHAR(35),"/book/156331/p/-1/t/1/fs/0/start/0/end/0/c"),"מבחר כתבי ישראל דב פרומקין")</f>
        <v>מבחר כתבי ישראל דב פרומקין</v>
      </c>
      <c r="H318" t="str">
        <f>_xlfn.CONCAT("https://tablet.otzar.org/",CHAR(35),"/book/156331/p/-1/t/1/fs/0/start/0/end/0/c")</f>
        <v>https://tablet.otzar.org/#/book/156331/p/-1/t/1/fs/0/start/0/end/0/c</v>
      </c>
    </row>
    <row r="319" spans="1:8" x14ac:dyDescent="0.25">
      <c r="A319">
        <v>156308</v>
      </c>
      <c r="B319" t="s">
        <v>699</v>
      </c>
      <c r="C319" t="s">
        <v>700</v>
      </c>
      <c r="D319" t="s">
        <v>10</v>
      </c>
      <c r="E319" t="s">
        <v>52</v>
      </c>
      <c r="F319" t="s">
        <v>23</v>
      </c>
      <c r="G319" t="str">
        <f>HYPERLINK(_xlfn.CONCAT("https://tablet.otzar.org/",CHAR(35),"/book/156308/p/-1/t/1/fs/0/start/0/end/0/c"),"מבחר כתבים")</f>
        <v>מבחר כתבים</v>
      </c>
      <c r="H319" t="str">
        <f>_xlfn.CONCAT("https://tablet.otzar.org/",CHAR(35),"/book/156308/p/-1/t/1/fs/0/start/0/end/0/c")</f>
        <v>https://tablet.otzar.org/#/book/156308/p/-1/t/1/fs/0/start/0/end/0/c</v>
      </c>
    </row>
    <row r="320" spans="1:8" x14ac:dyDescent="0.25">
      <c r="A320">
        <v>157325</v>
      </c>
      <c r="B320" t="s">
        <v>701</v>
      </c>
      <c r="C320" t="s">
        <v>702</v>
      </c>
      <c r="D320" t="s">
        <v>10</v>
      </c>
      <c r="E320" t="s">
        <v>54</v>
      </c>
      <c r="F320" t="s">
        <v>55</v>
      </c>
      <c r="G320" t="str">
        <f>HYPERLINK(_xlfn.CONCAT("https://tablet.otzar.org/",CHAR(35),"/book/157325/p/-1/t/1/fs/0/start/0/end/0/c"),"מבחר מספרות העיון של ימי הביניים ומספרות המוסר")</f>
        <v>מבחר מספרות העיון של ימי הביניים ומספרות המוסר</v>
      </c>
      <c r="H320" t="str">
        <f>_xlfn.CONCAT("https://tablet.otzar.org/",CHAR(35),"/book/157325/p/-1/t/1/fs/0/start/0/end/0/c")</f>
        <v>https://tablet.otzar.org/#/book/157325/p/-1/t/1/fs/0/start/0/end/0/c</v>
      </c>
    </row>
    <row r="321" spans="1:8" x14ac:dyDescent="0.25">
      <c r="A321">
        <v>157036</v>
      </c>
      <c r="B321" t="s">
        <v>703</v>
      </c>
      <c r="C321" t="s">
        <v>704</v>
      </c>
      <c r="D321" t="s">
        <v>10</v>
      </c>
      <c r="E321" t="s">
        <v>289</v>
      </c>
      <c r="F321" t="s">
        <v>23</v>
      </c>
      <c r="G321" t="str">
        <f>HYPERLINK(_xlfn.CONCAT("https://tablet.otzar.org/",CHAR(35),"/book/157036/p/-1/t/1/fs/0/start/0/end/0/c"),"מבטאי שפתנו")</f>
        <v>מבטאי שפתנו</v>
      </c>
      <c r="H321" t="str">
        <f>_xlfn.CONCAT("https://tablet.otzar.org/",CHAR(35),"/book/157036/p/-1/t/1/fs/0/start/0/end/0/c")</f>
        <v>https://tablet.otzar.org/#/book/157036/p/-1/t/1/fs/0/start/0/end/0/c</v>
      </c>
    </row>
    <row r="322" spans="1:8" x14ac:dyDescent="0.25">
      <c r="A322">
        <v>155555</v>
      </c>
      <c r="B322" t="s">
        <v>705</v>
      </c>
      <c r="C322" t="s">
        <v>706</v>
      </c>
      <c r="D322" t="s">
        <v>10</v>
      </c>
      <c r="E322" t="s">
        <v>92</v>
      </c>
      <c r="F322" t="s">
        <v>19</v>
      </c>
      <c r="G322" t="str">
        <f>HYPERLINK(_xlfn.CONCAT("https://tablet.otzar.org/",CHAR(35),"/book/155555/p/-1/t/1/fs/0/start/0/end/0/c"),"מגילת אסתר &lt;עקדת יצחק, מחיר יין&gt;")</f>
        <v>מגילת אסתר &lt;עקדת יצחק, מחיר יין&gt;</v>
      </c>
      <c r="H322" t="str">
        <f>_xlfn.CONCAT("https://tablet.otzar.org/",CHAR(35),"/book/155555/p/-1/t/1/fs/0/start/0/end/0/c")</f>
        <v>https://tablet.otzar.org/#/book/155555/p/-1/t/1/fs/0/start/0/end/0/c</v>
      </c>
    </row>
    <row r="323" spans="1:8" x14ac:dyDescent="0.25">
      <c r="A323">
        <v>638999</v>
      </c>
      <c r="B323" t="s">
        <v>707</v>
      </c>
      <c r="C323" t="s">
        <v>708</v>
      </c>
      <c r="D323" t="s">
        <v>10</v>
      </c>
      <c r="E323" t="s">
        <v>92</v>
      </c>
      <c r="F323" t="s">
        <v>19</v>
      </c>
      <c r="G323" t="str">
        <f>HYPERLINK(_xlfn.CONCAT("https://tablet.otzar.org/",CHAR(35),"/book/638999/p/-1/t/1/fs/0/start/0/end/0/c"),"מגילת אסתר &lt;מחיר יין&gt;")</f>
        <v>מגילת אסתר &lt;מחיר יין&gt;</v>
      </c>
      <c r="H323" t="str">
        <f>_xlfn.CONCAT("https://tablet.otzar.org/",CHAR(35),"/book/638999/p/-1/t/1/fs/0/start/0/end/0/c")</f>
        <v>https://tablet.otzar.org/#/book/638999/p/-1/t/1/fs/0/start/0/end/0/c</v>
      </c>
    </row>
    <row r="324" spans="1:8" x14ac:dyDescent="0.25">
      <c r="A324">
        <v>606714</v>
      </c>
      <c r="B324" t="s">
        <v>709</v>
      </c>
      <c r="C324" t="s">
        <v>364</v>
      </c>
      <c r="D324" t="s">
        <v>10</v>
      </c>
      <c r="E324" t="s">
        <v>100</v>
      </c>
      <c r="F324" t="s">
        <v>19</v>
      </c>
      <c r="G324" t="str">
        <f>HYPERLINK(_xlfn.CONCAT("https://tablet.otzar.org/",CHAR(35),"/exKotar/606714"),"מגילת אסתר &lt;מדה כנגד מדה&gt; - 2 כרכים")</f>
        <v>מגילת אסתר &lt;מדה כנגד מדה&gt; - 2 כרכים</v>
      </c>
      <c r="H324" t="str">
        <f>_xlfn.CONCAT("https://tablet.otzar.org/",CHAR(35),"/exKotar/606714")</f>
        <v>https://tablet.otzar.org/#/exKotar/606714</v>
      </c>
    </row>
    <row r="325" spans="1:8" x14ac:dyDescent="0.25">
      <c r="A325">
        <v>647318</v>
      </c>
      <c r="B325" t="s">
        <v>710</v>
      </c>
      <c r="C325" t="s">
        <v>711</v>
      </c>
      <c r="D325" t="s">
        <v>10</v>
      </c>
      <c r="E325" t="s">
        <v>116</v>
      </c>
      <c r="F325" t="s">
        <v>19</v>
      </c>
      <c r="G325" t="str">
        <f>HYPERLINK(_xlfn.CONCAT("https://tablet.otzar.org/",CHAR(35),"/book/647318/p/-1/t/1/fs/0/start/0/end/0/c"),"מגילת רות &lt;החסד והטוב&gt;")</f>
        <v>מגילת רות &lt;החסד והטוב&gt;</v>
      </c>
      <c r="H325" t="str">
        <f>_xlfn.CONCAT("https://tablet.otzar.org/",CHAR(35),"/book/647318/p/-1/t/1/fs/0/start/0/end/0/c")</f>
        <v>https://tablet.otzar.org/#/book/647318/p/-1/t/1/fs/0/start/0/end/0/c</v>
      </c>
    </row>
    <row r="326" spans="1:8" x14ac:dyDescent="0.25">
      <c r="A326">
        <v>155207</v>
      </c>
      <c r="B326" t="s">
        <v>712</v>
      </c>
      <c r="C326" t="s">
        <v>364</v>
      </c>
      <c r="D326" t="s">
        <v>10</v>
      </c>
      <c r="E326" t="s">
        <v>347</v>
      </c>
      <c r="F326" t="s">
        <v>117</v>
      </c>
      <c r="G326" t="str">
        <f>HYPERLINK(_xlfn.CONCAT("https://tablet.otzar.org/",CHAR(35),"/exKotar/155207"),"מדה כנגד מדה - 3 כרכים")</f>
        <v>מדה כנגד מדה - 3 כרכים</v>
      </c>
      <c r="H326" t="str">
        <f>_xlfn.CONCAT("https://tablet.otzar.org/",CHAR(35),"/exKotar/155207")</f>
        <v>https://tablet.otzar.org/#/exKotar/155207</v>
      </c>
    </row>
    <row r="327" spans="1:8" x14ac:dyDescent="0.25">
      <c r="A327">
        <v>156311</v>
      </c>
      <c r="B327" t="s">
        <v>713</v>
      </c>
      <c r="C327" t="s">
        <v>14</v>
      </c>
      <c r="D327" t="s">
        <v>10</v>
      </c>
      <c r="E327" t="s">
        <v>714</v>
      </c>
      <c r="F327" t="s">
        <v>232</v>
      </c>
      <c r="G327" t="str">
        <f>HYPERLINK(_xlfn.CONCAT("https://tablet.otzar.org/",CHAR(35),"/exKotar/156311"),"מדי חודש בחדשו - 8 כרכים")</f>
        <v>מדי חודש בחדשו - 8 כרכים</v>
      </c>
      <c r="H327" t="str">
        <f>_xlfn.CONCAT("https://tablet.otzar.org/",CHAR(35),"/exKotar/156311")</f>
        <v>https://tablet.otzar.org/#/exKotar/156311</v>
      </c>
    </row>
    <row r="328" spans="1:8" x14ac:dyDescent="0.25">
      <c r="A328">
        <v>158418</v>
      </c>
      <c r="B328" t="s">
        <v>715</v>
      </c>
      <c r="C328" t="s">
        <v>716</v>
      </c>
      <c r="D328" t="s">
        <v>10</v>
      </c>
      <c r="E328" t="s">
        <v>52</v>
      </c>
      <c r="F328" t="s">
        <v>717</v>
      </c>
      <c r="G328" t="str">
        <f>HYPERLINK(_xlfn.CONCAT("https://tablet.otzar.org/",CHAR(35),"/book/158418/p/-1/t/1/fs/0/start/0/end/0/c"),"מדין לרחמים")</f>
        <v>מדין לרחמים</v>
      </c>
      <c r="H328" t="str">
        <f>_xlfn.CONCAT("https://tablet.otzar.org/",CHAR(35),"/book/158418/p/-1/t/1/fs/0/start/0/end/0/c")</f>
        <v>https://tablet.otzar.org/#/book/158418/p/-1/t/1/fs/0/start/0/end/0/c</v>
      </c>
    </row>
    <row r="329" spans="1:8" x14ac:dyDescent="0.25">
      <c r="A329">
        <v>14055</v>
      </c>
      <c r="B329" t="s">
        <v>718</v>
      </c>
      <c r="C329" t="s">
        <v>719</v>
      </c>
      <c r="D329" t="s">
        <v>10</v>
      </c>
      <c r="E329" t="s">
        <v>244</v>
      </c>
      <c r="F329" t="s">
        <v>720</v>
      </c>
      <c r="G329" t="str">
        <f>HYPERLINK(_xlfn.CONCAT("https://tablet.otzar.org/",CHAR(35),"/book/14055/p/-1/t/1/fs/0/start/0/end/0/c"),"מדרש בראשית זוטא")</f>
        <v>מדרש בראשית זוטא</v>
      </c>
      <c r="H329" t="str">
        <f>_xlfn.CONCAT("https://tablet.otzar.org/",CHAR(35),"/book/14055/p/-1/t/1/fs/0/start/0/end/0/c")</f>
        <v>https://tablet.otzar.org/#/book/14055/p/-1/t/1/fs/0/start/0/end/0/c</v>
      </c>
    </row>
    <row r="330" spans="1:8" x14ac:dyDescent="0.25">
      <c r="A330">
        <v>154776</v>
      </c>
      <c r="B330" t="s">
        <v>721</v>
      </c>
      <c r="C330" t="s">
        <v>722</v>
      </c>
      <c r="D330" t="s">
        <v>10</v>
      </c>
      <c r="E330" t="s">
        <v>723</v>
      </c>
      <c r="F330" t="s">
        <v>724</v>
      </c>
      <c r="G330" t="str">
        <f>HYPERLINK(_xlfn.CONCAT("https://tablet.otzar.org/",CHAR(35),"/exKotar/154776"),"מדרש הגדול &lt;מוה""""ק&gt;  - 10 כרכים")</f>
        <v>מדרש הגדול &lt;מוה""ק&gt;  - 10 כרכים</v>
      </c>
      <c r="H330" t="str">
        <f>_xlfn.CONCAT("https://tablet.otzar.org/",CHAR(35),"/exKotar/154776")</f>
        <v>https://tablet.otzar.org/#/exKotar/154776</v>
      </c>
    </row>
    <row r="331" spans="1:8" x14ac:dyDescent="0.25">
      <c r="A331">
        <v>16937</v>
      </c>
      <c r="B331" t="s">
        <v>725</v>
      </c>
      <c r="C331" t="s">
        <v>726</v>
      </c>
      <c r="D331" t="s">
        <v>10</v>
      </c>
      <c r="E331" t="s">
        <v>727</v>
      </c>
      <c r="F331" t="s">
        <v>720</v>
      </c>
      <c r="G331" t="str">
        <f>HYPERLINK(_xlfn.CONCAT("https://tablet.otzar.org/",CHAR(35),"/exKotar/16937"),"מדרש החפץ - 2 כרכים")</f>
        <v>מדרש החפץ - 2 כרכים</v>
      </c>
      <c r="H331" t="str">
        <f>_xlfn.CONCAT("https://tablet.otzar.org/",CHAR(35),"/exKotar/16937")</f>
        <v>https://tablet.otzar.org/#/exKotar/16937</v>
      </c>
    </row>
    <row r="332" spans="1:8" x14ac:dyDescent="0.25">
      <c r="A332">
        <v>154409</v>
      </c>
      <c r="B332" t="s">
        <v>728</v>
      </c>
      <c r="C332" t="s">
        <v>729</v>
      </c>
      <c r="D332" t="s">
        <v>10</v>
      </c>
      <c r="E332" t="s">
        <v>730</v>
      </c>
      <c r="F332" t="s">
        <v>97</v>
      </c>
      <c r="G332" t="str">
        <f>HYPERLINK(_xlfn.CONCAT("https://tablet.otzar.org/",CHAR(35),"/book/154409/p/-1/t/1/fs/0/start/0/end/0/c"),"מדרש הרב")</f>
        <v>מדרש הרב</v>
      </c>
      <c r="H332" t="str">
        <f>_xlfn.CONCAT("https://tablet.otzar.org/",CHAR(35),"/book/154409/p/-1/t/1/fs/0/start/0/end/0/c")</f>
        <v>https://tablet.otzar.org/#/book/154409/p/-1/t/1/fs/0/start/0/end/0/c</v>
      </c>
    </row>
    <row r="333" spans="1:8" x14ac:dyDescent="0.25">
      <c r="A333">
        <v>158446</v>
      </c>
      <c r="B333" t="s">
        <v>731</v>
      </c>
      <c r="C333" t="s">
        <v>732</v>
      </c>
      <c r="D333" t="s">
        <v>10</v>
      </c>
      <c r="E333" t="s">
        <v>130</v>
      </c>
      <c r="F333" t="s">
        <v>724</v>
      </c>
      <c r="G333" t="str">
        <f>HYPERLINK(_xlfn.CONCAT("https://tablet.otzar.org/",CHAR(35),"/exKotar/158446"),"מדרש רבי דוד הנגיד - 2 כרכים")</f>
        <v>מדרש רבי דוד הנגיד - 2 כרכים</v>
      </c>
      <c r="H333" t="str">
        <f>_xlfn.CONCAT("https://tablet.otzar.org/",CHAR(35),"/exKotar/158446")</f>
        <v>https://tablet.otzar.org/#/exKotar/158446</v>
      </c>
    </row>
    <row r="334" spans="1:8" x14ac:dyDescent="0.25">
      <c r="A334">
        <v>155130</v>
      </c>
      <c r="B334" t="s">
        <v>733</v>
      </c>
      <c r="C334" t="s">
        <v>734</v>
      </c>
      <c r="D334" t="s">
        <v>10</v>
      </c>
      <c r="E334" t="s">
        <v>112</v>
      </c>
      <c r="F334" t="s">
        <v>19</v>
      </c>
      <c r="G334" t="str">
        <f>HYPERLINK(_xlfn.CONCAT("https://tablet.otzar.org/",CHAR(35),"/book/155130/p/-1/t/1/fs/0/start/0/end/0/c"),"מדרש תנאים לבראשית")</f>
        <v>מדרש תנאים לבראשית</v>
      </c>
      <c r="H334" t="str">
        <f>_xlfn.CONCAT("https://tablet.otzar.org/",CHAR(35),"/book/155130/p/-1/t/1/fs/0/start/0/end/0/c")</f>
        <v>https://tablet.otzar.org/#/book/155130/p/-1/t/1/fs/0/start/0/end/0/c</v>
      </c>
    </row>
    <row r="335" spans="1:8" x14ac:dyDescent="0.25">
      <c r="A335">
        <v>155208</v>
      </c>
      <c r="B335" t="s">
        <v>735</v>
      </c>
      <c r="C335" t="s">
        <v>736</v>
      </c>
      <c r="D335" t="s">
        <v>10</v>
      </c>
      <c r="E335" t="s">
        <v>132</v>
      </c>
      <c r="F335" t="s">
        <v>12</v>
      </c>
      <c r="G335" t="str">
        <f>HYPERLINK(_xlfn.CONCAT("https://tablet.otzar.org/",CHAR(35),"/book/155208/p/-1/t/1/fs/0/start/0/end/0/c"),"מהר""""ץ חיות")</f>
        <v>מהר""ץ חיות</v>
      </c>
      <c r="H335" t="str">
        <f>_xlfn.CONCAT("https://tablet.otzar.org/",CHAR(35),"/book/155208/p/-1/t/1/fs/0/start/0/end/0/c")</f>
        <v>https://tablet.otzar.org/#/book/155208/p/-1/t/1/fs/0/start/0/end/0/c</v>
      </c>
    </row>
    <row r="336" spans="1:8" x14ac:dyDescent="0.25">
      <c r="A336">
        <v>180354</v>
      </c>
      <c r="B336" t="s">
        <v>737</v>
      </c>
      <c r="C336" t="s">
        <v>738</v>
      </c>
      <c r="D336" t="s">
        <v>10</v>
      </c>
      <c r="E336" t="s">
        <v>394</v>
      </c>
      <c r="F336" t="s">
        <v>55</v>
      </c>
      <c r="G336" t="str">
        <f>HYPERLINK(_xlfn.CONCAT("https://tablet.otzar.org/",CHAR(35),"/book/180354/p/-1/t/1/fs/0/start/0/end/0/c"),"מוטיבים מקבילים")</f>
        <v>מוטיבים מקבילים</v>
      </c>
      <c r="H336" t="str">
        <f>_xlfn.CONCAT("https://tablet.otzar.org/",CHAR(35),"/book/180354/p/-1/t/1/fs/0/start/0/end/0/c")</f>
        <v>https://tablet.otzar.org/#/book/180354/p/-1/t/1/fs/0/start/0/end/0/c</v>
      </c>
    </row>
    <row r="337" spans="1:8" x14ac:dyDescent="0.25">
      <c r="A337">
        <v>15646</v>
      </c>
      <c r="B337" t="s">
        <v>739</v>
      </c>
      <c r="C337" t="s">
        <v>740</v>
      </c>
      <c r="D337" t="s">
        <v>10</v>
      </c>
      <c r="E337" t="s">
        <v>18</v>
      </c>
      <c r="F337" t="s">
        <v>741</v>
      </c>
      <c r="G337" t="str">
        <f>HYPERLINK(_xlfn.CONCAT("https://tablet.otzar.org/",CHAR(35),"/book/15646/p/-1/t/1/fs/0/start/0/end/0/c"),"מוסדות ותארים בספרות התלמוד")</f>
        <v>מוסדות ותארים בספרות התלמוד</v>
      </c>
      <c r="H337" t="str">
        <f>_xlfn.CONCAT("https://tablet.otzar.org/",CHAR(35),"/book/15646/p/-1/t/1/fs/0/start/0/end/0/c")</f>
        <v>https://tablet.otzar.org/#/book/15646/p/-1/t/1/fs/0/start/0/end/0/c</v>
      </c>
    </row>
    <row r="338" spans="1:8" x14ac:dyDescent="0.25">
      <c r="A338">
        <v>154996</v>
      </c>
      <c r="B338" t="s">
        <v>742</v>
      </c>
      <c r="C338" t="s">
        <v>21</v>
      </c>
      <c r="D338" t="s">
        <v>10</v>
      </c>
      <c r="E338" t="s">
        <v>80</v>
      </c>
      <c r="F338" t="s">
        <v>55</v>
      </c>
      <c r="G338" t="str">
        <f>HYPERLINK(_xlfn.CONCAT("https://tablet.otzar.org/",CHAR(35),"/book/154996/p/-1/t/1/fs/0/start/0/end/0/c"),"מוסר אביך ומדות הראיה")</f>
        <v>מוסר אביך ומדות הראיה</v>
      </c>
      <c r="H338" t="str">
        <f>_xlfn.CONCAT("https://tablet.otzar.org/",CHAR(35),"/book/154996/p/-1/t/1/fs/0/start/0/end/0/c")</f>
        <v>https://tablet.otzar.org/#/book/154996/p/-1/t/1/fs/0/start/0/end/0/c</v>
      </c>
    </row>
    <row r="339" spans="1:8" x14ac:dyDescent="0.25">
      <c r="A339">
        <v>157047</v>
      </c>
      <c r="B339" t="s">
        <v>743</v>
      </c>
      <c r="C339" t="s">
        <v>744</v>
      </c>
      <c r="D339" t="s">
        <v>10</v>
      </c>
      <c r="E339" t="s">
        <v>745</v>
      </c>
      <c r="G339" t="str">
        <f>HYPERLINK(_xlfn.CONCAT("https://tablet.otzar.org/",CHAR(35),"/book/157047/p/-1/t/1/fs/0/start/0/end/0/c"),"מוסר המקרא והתלמוד")</f>
        <v>מוסר המקרא והתלמוד</v>
      </c>
      <c r="H339" t="str">
        <f>_xlfn.CONCAT("https://tablet.otzar.org/",CHAR(35),"/book/157047/p/-1/t/1/fs/0/start/0/end/0/c")</f>
        <v>https://tablet.otzar.org/#/book/157047/p/-1/t/1/fs/0/start/0/end/0/c</v>
      </c>
    </row>
    <row r="340" spans="1:8" x14ac:dyDescent="0.25">
      <c r="A340">
        <v>170004</v>
      </c>
      <c r="B340" t="s">
        <v>746</v>
      </c>
      <c r="C340" t="s">
        <v>71</v>
      </c>
      <c r="D340" t="s">
        <v>10</v>
      </c>
      <c r="E340" t="s">
        <v>157</v>
      </c>
      <c r="F340" t="s">
        <v>262</v>
      </c>
      <c r="G340" t="str">
        <f>HYPERLINK(_xlfn.CONCAT("https://tablet.otzar.org/",CHAR(35),"/book/170004/p/-1/t/1/fs/0/start/0/end/0/c"),"מועדי קדשך")</f>
        <v>מועדי קדשך</v>
      </c>
      <c r="H340" t="str">
        <f>_xlfn.CONCAT("https://tablet.otzar.org/",CHAR(35),"/book/170004/p/-1/t/1/fs/0/start/0/end/0/c")</f>
        <v>https://tablet.otzar.org/#/book/170004/p/-1/t/1/fs/0/start/0/end/0/c</v>
      </c>
    </row>
    <row r="341" spans="1:8" x14ac:dyDescent="0.25">
      <c r="A341">
        <v>155290</v>
      </c>
      <c r="B341" t="s">
        <v>747</v>
      </c>
      <c r="C341" t="s">
        <v>441</v>
      </c>
      <c r="D341" t="s">
        <v>10</v>
      </c>
      <c r="E341" t="s">
        <v>112</v>
      </c>
      <c r="F341" t="s">
        <v>55</v>
      </c>
      <c r="G341" t="str">
        <f>HYPERLINK(_xlfn.CONCAT("https://tablet.otzar.org/",CHAR(35),"/book/155290/p/-1/t/1/fs/0/start/0/end/0/c"),"מורה הנבוכים &lt;מוה""""ק&gt;")</f>
        <v>מורה הנבוכים &lt;מוה""ק&gt;</v>
      </c>
      <c r="H341" t="str">
        <f>_xlfn.CONCAT("https://tablet.otzar.org/",CHAR(35),"/book/155290/p/-1/t/1/fs/0/start/0/end/0/c")</f>
        <v>https://tablet.otzar.org/#/book/155290/p/-1/t/1/fs/0/start/0/end/0/c</v>
      </c>
    </row>
    <row r="342" spans="1:8" x14ac:dyDescent="0.25">
      <c r="A342">
        <v>158009</v>
      </c>
      <c r="B342" t="s">
        <v>748</v>
      </c>
      <c r="C342" t="s">
        <v>441</v>
      </c>
      <c r="D342" t="s">
        <v>10</v>
      </c>
      <c r="E342" t="s">
        <v>36</v>
      </c>
      <c r="F342" t="s">
        <v>55</v>
      </c>
      <c r="G342" t="str">
        <f>HYPERLINK(_xlfn.CONCAT("https://tablet.otzar.org/",CHAR(35),"/exKotar/158009"),"מורה הנבוכים &lt;מקור ותרגום&gt;  - 3 כרכים")</f>
        <v>מורה הנבוכים &lt;מקור ותרגום&gt;  - 3 כרכים</v>
      </c>
      <c r="H342" t="str">
        <f>_xlfn.CONCAT("https://tablet.otzar.org/",CHAR(35),"/exKotar/158009")</f>
        <v>https://tablet.otzar.org/#/exKotar/158009</v>
      </c>
    </row>
    <row r="343" spans="1:8" x14ac:dyDescent="0.25">
      <c r="A343">
        <v>155072</v>
      </c>
      <c r="B343" t="s">
        <v>749</v>
      </c>
      <c r="C343" t="s">
        <v>441</v>
      </c>
      <c r="D343" t="s">
        <v>10</v>
      </c>
      <c r="E343" t="s">
        <v>447</v>
      </c>
      <c r="F343" t="s">
        <v>55</v>
      </c>
      <c r="G343" t="str">
        <f>HYPERLINK(_xlfn.CONCAT("https://tablet.otzar.org/",CHAR(35),"/exKotar/155072"),"מורה נבוכים &lt;מוה""""ק&gt;  - 4 כרכים")</f>
        <v>מורה נבוכים &lt;מוה""ק&gt;  - 4 כרכים</v>
      </c>
      <c r="H343" t="str">
        <f>_xlfn.CONCAT("https://tablet.otzar.org/",CHAR(35),"/exKotar/155072")</f>
        <v>https://tablet.otzar.org/#/exKotar/155072</v>
      </c>
    </row>
    <row r="344" spans="1:8" x14ac:dyDescent="0.25">
      <c r="A344">
        <v>155276</v>
      </c>
      <c r="B344" t="s">
        <v>750</v>
      </c>
      <c r="C344" t="s">
        <v>751</v>
      </c>
      <c r="D344" t="s">
        <v>10</v>
      </c>
      <c r="E344" t="s">
        <v>447</v>
      </c>
      <c r="F344" t="s">
        <v>55</v>
      </c>
      <c r="G344" t="str">
        <f>HYPERLINK(_xlfn.CONCAT("https://tablet.otzar.org/",CHAR(35),"/book/155276/p/-1/t/1/fs/0/start/0/end/0/c"),"מורה נבוכים לרמב""""ם על התורה")</f>
        <v>מורה נבוכים לרמב""ם על התורה</v>
      </c>
      <c r="H344" t="str">
        <f>_xlfn.CONCAT("https://tablet.otzar.org/",CHAR(35),"/book/155276/p/-1/t/1/fs/0/start/0/end/0/c")</f>
        <v>https://tablet.otzar.org/#/book/155276/p/-1/t/1/fs/0/start/0/end/0/c</v>
      </c>
    </row>
    <row r="345" spans="1:8" x14ac:dyDescent="0.25">
      <c r="A345">
        <v>601671</v>
      </c>
      <c r="B345" t="s">
        <v>752</v>
      </c>
      <c r="C345" t="s">
        <v>441</v>
      </c>
      <c r="D345" t="s">
        <v>10</v>
      </c>
      <c r="E345" t="s">
        <v>187</v>
      </c>
      <c r="G345" t="str">
        <f>HYPERLINK(_xlfn.CONCAT("https://tablet.otzar.org/",CHAR(35),"/book/601671/p/-1/t/1/fs/0/start/0/end/0/c"),"מורה נבוכים על התורה (באנגלית)")</f>
        <v>מורה נבוכים על התורה (באנגלית)</v>
      </c>
      <c r="H345" t="str">
        <f>_xlfn.CONCAT("https://tablet.otzar.org/",CHAR(35),"/book/601671/p/-1/t/1/fs/0/start/0/end/0/c")</f>
        <v>https://tablet.otzar.org/#/book/601671/p/-1/t/1/fs/0/start/0/end/0/c</v>
      </c>
    </row>
    <row r="346" spans="1:8" x14ac:dyDescent="0.25">
      <c r="A346">
        <v>156998</v>
      </c>
      <c r="B346" t="s">
        <v>753</v>
      </c>
      <c r="C346" t="s">
        <v>754</v>
      </c>
      <c r="D346" t="s">
        <v>10</v>
      </c>
      <c r="E346" t="s">
        <v>140</v>
      </c>
      <c r="F346" t="s">
        <v>85</v>
      </c>
      <c r="G346" t="str">
        <f>HYPERLINK(_xlfn.CONCAT("https://tablet.otzar.org/",CHAR(35),"/book/156998/p/-1/t/1/fs/0/start/0/end/0/c"),"מורשת משה")</f>
        <v>מורשת משה</v>
      </c>
      <c r="H346" t="str">
        <f>_xlfn.CONCAT("https://tablet.otzar.org/",CHAR(35),"/book/156998/p/-1/t/1/fs/0/start/0/end/0/c")</f>
        <v>https://tablet.otzar.org/#/book/156998/p/-1/t/1/fs/0/start/0/end/0/c</v>
      </c>
    </row>
    <row r="347" spans="1:8" x14ac:dyDescent="0.25">
      <c r="A347">
        <v>638053</v>
      </c>
      <c r="B347" t="s">
        <v>755</v>
      </c>
      <c r="C347" t="s">
        <v>756</v>
      </c>
      <c r="D347" t="s">
        <v>10</v>
      </c>
      <c r="E347" t="s">
        <v>43</v>
      </c>
      <c r="G347" t="str">
        <f>HYPERLINK(_xlfn.CONCAT("https://tablet.otzar.org/",CHAR(35),"/exKotar/638053"),"מחזור שיח בשדה - 2 כרכים")</f>
        <v>מחזור שיח בשדה - 2 כרכים</v>
      </c>
      <c r="H347" t="str">
        <f>_xlfn.CONCAT("https://tablet.otzar.org/",CHAR(35),"/exKotar/638053")</f>
        <v>https://tablet.otzar.org/#/exKotar/638053</v>
      </c>
    </row>
    <row r="348" spans="1:8" x14ac:dyDescent="0.25">
      <c r="A348">
        <v>158980</v>
      </c>
      <c r="B348" t="s">
        <v>757</v>
      </c>
      <c r="C348" t="s">
        <v>758</v>
      </c>
      <c r="D348" t="s">
        <v>10</v>
      </c>
      <c r="E348" t="s">
        <v>120</v>
      </c>
      <c r="F348" t="s">
        <v>741</v>
      </c>
      <c r="G348" t="str">
        <f>HYPERLINK(_xlfn.CONCAT("https://tablet.otzar.org/",CHAR(35),"/book/158980/p/-1/t/1/fs/0/start/0/end/0/c"),"מחקרים בברייתא ותוספתא ויחסן לתלמוד")</f>
        <v>מחקרים בברייתא ותוספתא ויחסן לתלמוד</v>
      </c>
      <c r="H348" t="str">
        <f>_xlfn.CONCAT("https://tablet.otzar.org/",CHAR(35),"/book/158980/p/-1/t/1/fs/0/start/0/end/0/c")</f>
        <v>https://tablet.otzar.org/#/book/158980/p/-1/t/1/fs/0/start/0/end/0/c</v>
      </c>
    </row>
    <row r="349" spans="1:8" x14ac:dyDescent="0.25">
      <c r="A349">
        <v>15163</v>
      </c>
      <c r="B349" t="s">
        <v>759</v>
      </c>
      <c r="C349" t="s">
        <v>462</v>
      </c>
      <c r="D349" t="s">
        <v>10</v>
      </c>
      <c r="E349" t="s">
        <v>383</v>
      </c>
      <c r="F349" t="s">
        <v>741</v>
      </c>
      <c r="G349" t="str">
        <f>HYPERLINK(_xlfn.CONCAT("https://tablet.otzar.org/",CHAR(35),"/book/15163/p/-1/t/1/fs/0/start/0/end/0/c"),"מחקרים בדרכי התלמוד וחידותיו - עוללות")</f>
        <v>מחקרים בדרכי התלמוד וחידותיו - עוללות</v>
      </c>
      <c r="H349" t="str">
        <f>_xlfn.CONCAT("https://tablet.otzar.org/",CHAR(35),"/book/15163/p/-1/t/1/fs/0/start/0/end/0/c")</f>
        <v>https://tablet.otzar.org/#/book/15163/p/-1/t/1/fs/0/start/0/end/0/c</v>
      </c>
    </row>
    <row r="350" spans="1:8" x14ac:dyDescent="0.25">
      <c r="A350">
        <v>15111</v>
      </c>
      <c r="B350" t="s">
        <v>760</v>
      </c>
      <c r="C350" t="s">
        <v>761</v>
      </c>
      <c r="D350" t="s">
        <v>10</v>
      </c>
      <c r="E350" t="s">
        <v>244</v>
      </c>
      <c r="F350" t="s">
        <v>158</v>
      </c>
      <c r="G350" t="str">
        <f>HYPERLINK(_xlfn.CONCAT("https://tablet.otzar.org/",CHAR(35),"/book/15111/p/-1/t/1/fs/0/start/0/end/0/c"),"מחקרים בספרות העברית של ימי הביניים")</f>
        <v>מחקרים בספרות העברית של ימי הביניים</v>
      </c>
      <c r="H350" t="str">
        <f>_xlfn.CONCAT("https://tablet.otzar.org/",CHAR(35),"/book/15111/p/-1/t/1/fs/0/start/0/end/0/c")</f>
        <v>https://tablet.otzar.org/#/book/15111/p/-1/t/1/fs/0/start/0/end/0/c</v>
      </c>
    </row>
    <row r="351" spans="1:8" x14ac:dyDescent="0.25">
      <c r="A351">
        <v>156319</v>
      </c>
      <c r="B351" t="s">
        <v>762</v>
      </c>
      <c r="C351" t="s">
        <v>763</v>
      </c>
      <c r="D351" t="s">
        <v>10</v>
      </c>
      <c r="E351" t="s">
        <v>109</v>
      </c>
      <c r="F351" t="s">
        <v>69</v>
      </c>
      <c r="G351" t="str">
        <f>HYPERLINK(_xlfn.CONCAT("https://tablet.otzar.org/",CHAR(35),"/book/156319/p/-1/t/1/fs/0/start/0/end/0/c"),"מחקרים בספרות התלמוד")</f>
        <v>מחקרים בספרות התלמוד</v>
      </c>
      <c r="H351" t="str">
        <f>_xlfn.CONCAT("https://tablet.otzar.org/",CHAR(35),"/book/156319/p/-1/t/1/fs/0/start/0/end/0/c")</f>
        <v>https://tablet.otzar.org/#/book/156319/p/-1/t/1/fs/0/start/0/end/0/c</v>
      </c>
    </row>
    <row r="352" spans="1:8" x14ac:dyDescent="0.25">
      <c r="A352">
        <v>157013</v>
      </c>
      <c r="B352" t="s">
        <v>764</v>
      </c>
      <c r="C352" t="s">
        <v>765</v>
      </c>
      <c r="D352" t="s">
        <v>10</v>
      </c>
      <c r="E352" t="s">
        <v>388</v>
      </c>
      <c r="F352" t="s">
        <v>23</v>
      </c>
      <c r="G352" t="str">
        <f>HYPERLINK(_xlfn.CONCAT("https://tablet.otzar.org/",CHAR(35),"/book/157013/p/-1/t/1/fs/0/start/0/end/0/c"),"מחקרים בספרות התשובות")</f>
        <v>מחקרים בספרות התשובות</v>
      </c>
      <c r="H352" t="str">
        <f>_xlfn.CONCAT("https://tablet.otzar.org/",CHAR(35),"/book/157013/p/-1/t/1/fs/0/start/0/end/0/c")</f>
        <v>https://tablet.otzar.org/#/book/157013/p/-1/t/1/fs/0/start/0/end/0/c</v>
      </c>
    </row>
    <row r="353" spans="1:8" x14ac:dyDescent="0.25">
      <c r="A353">
        <v>156193</v>
      </c>
      <c r="B353" t="s">
        <v>766</v>
      </c>
      <c r="C353" t="s">
        <v>767</v>
      </c>
      <c r="D353" t="s">
        <v>10</v>
      </c>
      <c r="E353" t="s">
        <v>104</v>
      </c>
      <c r="F353" t="s">
        <v>158</v>
      </c>
      <c r="G353" t="str">
        <f>HYPERLINK(_xlfn.CONCAT("https://tablet.otzar.org/",CHAR(35),"/book/156193/p/-1/t/1/fs/0/start/0/end/0/c"),"מחקרים בתולדות היהודים בארץ ישראל ובארצות המזרח")</f>
        <v>מחקרים בתולדות היהודים בארץ ישראל ובארצות המזרח</v>
      </c>
      <c r="H353" t="str">
        <f>_xlfn.CONCAT("https://tablet.otzar.org/",CHAR(35),"/book/156193/p/-1/t/1/fs/0/start/0/end/0/c")</f>
        <v>https://tablet.otzar.org/#/book/156193/p/-1/t/1/fs/0/start/0/end/0/c</v>
      </c>
    </row>
    <row r="354" spans="1:8" x14ac:dyDescent="0.25">
      <c r="A354">
        <v>156321</v>
      </c>
      <c r="B354" t="s">
        <v>768</v>
      </c>
      <c r="C354" t="s">
        <v>769</v>
      </c>
      <c r="D354" t="s">
        <v>10</v>
      </c>
      <c r="E354" t="s">
        <v>204</v>
      </c>
      <c r="F354" t="s">
        <v>69</v>
      </c>
      <c r="G354" t="str">
        <f>HYPERLINK(_xlfn.CONCAT("https://tablet.otzar.org/",CHAR(35),"/book/156321/p/-1/t/1/fs/0/start/0/end/0/c"),"מחקרים בתלמוד")</f>
        <v>מחקרים בתלמוד</v>
      </c>
      <c r="H354" t="str">
        <f>_xlfn.CONCAT("https://tablet.otzar.org/",CHAR(35),"/book/156321/p/-1/t/1/fs/0/start/0/end/0/c")</f>
        <v>https://tablet.otzar.org/#/book/156321/p/-1/t/1/fs/0/start/0/end/0/c</v>
      </c>
    </row>
    <row r="355" spans="1:8" x14ac:dyDescent="0.25">
      <c r="A355">
        <v>15628</v>
      </c>
      <c r="B355" t="s">
        <v>770</v>
      </c>
      <c r="C355" t="s">
        <v>468</v>
      </c>
      <c r="D355" t="s">
        <v>10</v>
      </c>
      <c r="E355" t="s">
        <v>109</v>
      </c>
      <c r="F355" t="s">
        <v>158</v>
      </c>
      <c r="G355" t="str">
        <f>HYPERLINK(_xlfn.CONCAT("https://tablet.otzar.org/",CHAR(35),"/book/15628/p/-1/t/1/fs/0/start/0/end/0/c"),"מחקרים בתקופת המשנה והתלמוד")</f>
        <v>מחקרים בתקופת המשנה והתלמוד</v>
      </c>
      <c r="H355" t="str">
        <f>_xlfn.CONCAT("https://tablet.otzar.org/",CHAR(35),"/book/15628/p/-1/t/1/fs/0/start/0/end/0/c")</f>
        <v>https://tablet.otzar.org/#/book/15628/p/-1/t/1/fs/0/start/0/end/0/c</v>
      </c>
    </row>
    <row r="356" spans="1:8" x14ac:dyDescent="0.25">
      <c r="A356">
        <v>169985</v>
      </c>
      <c r="B356" t="s">
        <v>771</v>
      </c>
      <c r="C356" t="s">
        <v>772</v>
      </c>
      <c r="D356" t="s">
        <v>10</v>
      </c>
      <c r="E356" t="s">
        <v>325</v>
      </c>
      <c r="F356" t="s">
        <v>218</v>
      </c>
      <c r="G356" t="str">
        <f>HYPERLINK(_xlfn.CONCAT("https://tablet.otzar.org/",CHAR(35),"/book/169985/p/-1/t/1/fs/0/start/0/end/0/c"),"מי באר - מסכת שבועות")</f>
        <v>מי באר - מסכת שבועות</v>
      </c>
      <c r="H356" t="str">
        <f>_xlfn.CONCAT("https://tablet.otzar.org/",CHAR(35),"/book/169985/p/-1/t/1/fs/0/start/0/end/0/c")</f>
        <v>https://tablet.otzar.org/#/book/169985/p/-1/t/1/fs/0/start/0/end/0/c</v>
      </c>
    </row>
    <row r="357" spans="1:8" x14ac:dyDescent="0.25">
      <c r="A357">
        <v>155117</v>
      </c>
      <c r="B357" t="s">
        <v>773</v>
      </c>
      <c r="C357" t="s">
        <v>774</v>
      </c>
      <c r="D357" t="s">
        <v>10</v>
      </c>
      <c r="E357" t="s">
        <v>140</v>
      </c>
      <c r="F357" t="s">
        <v>23</v>
      </c>
      <c r="G357" t="str">
        <f>HYPERLINK(_xlfn.CONCAT("https://tablet.otzar.org/",CHAR(35),"/exKotar/155117"),"מכלול המאמרים והפתגמים - 2 כרכים")</f>
        <v>מכלול המאמרים והפתגמים - 2 כרכים</v>
      </c>
      <c r="H357" t="str">
        <f>_xlfn.CONCAT("https://tablet.otzar.org/",CHAR(35),"/exKotar/155117")</f>
        <v>https://tablet.otzar.org/#/exKotar/155117</v>
      </c>
    </row>
    <row r="358" spans="1:8" x14ac:dyDescent="0.25">
      <c r="A358">
        <v>157328</v>
      </c>
      <c r="B358" t="s">
        <v>775</v>
      </c>
      <c r="C358" t="s">
        <v>776</v>
      </c>
      <c r="D358" t="s">
        <v>10</v>
      </c>
      <c r="E358" t="s">
        <v>579</v>
      </c>
      <c r="F358" t="s">
        <v>158</v>
      </c>
      <c r="G358" t="str">
        <f>HYPERLINK(_xlfn.CONCAT("https://tablet.otzar.org/",CHAR(35),"/book/157328/p/-1/t/1/fs/0/start/0/end/0/c"),"מכתבים מזוייפים נגד הציונות על שמם של גדולי ישראל")</f>
        <v>מכתבים מזוייפים נגד הציונות על שמם של גדולי ישראל</v>
      </c>
      <c r="H358" t="str">
        <f>_xlfn.CONCAT("https://tablet.otzar.org/",CHAR(35),"/book/157328/p/-1/t/1/fs/0/start/0/end/0/c")</f>
        <v>https://tablet.otzar.org/#/book/157328/p/-1/t/1/fs/0/start/0/end/0/c</v>
      </c>
    </row>
    <row r="359" spans="1:8" x14ac:dyDescent="0.25">
      <c r="A359">
        <v>155246</v>
      </c>
      <c r="B359" t="s">
        <v>777</v>
      </c>
      <c r="C359" t="s">
        <v>462</v>
      </c>
      <c r="D359" t="s">
        <v>10</v>
      </c>
      <c r="E359" t="s">
        <v>87</v>
      </c>
      <c r="F359" t="s">
        <v>235</v>
      </c>
      <c r="G359" t="str">
        <f>HYPERLINK(_xlfn.CONCAT("https://tablet.otzar.org/",CHAR(35),"/book/155246/p/-1/t/1/fs/0/start/0/end/0/c"),"מלאכי עליון")</f>
        <v>מלאכי עליון</v>
      </c>
      <c r="H359" t="str">
        <f>_xlfn.CONCAT("https://tablet.otzar.org/",CHAR(35),"/book/155246/p/-1/t/1/fs/0/start/0/end/0/c")</f>
        <v>https://tablet.otzar.org/#/book/155246/p/-1/t/1/fs/0/start/0/end/0/c</v>
      </c>
    </row>
    <row r="360" spans="1:8" x14ac:dyDescent="0.25">
      <c r="A360">
        <v>157336</v>
      </c>
      <c r="B360" t="s">
        <v>778</v>
      </c>
      <c r="C360" t="s">
        <v>441</v>
      </c>
      <c r="D360" t="s">
        <v>10</v>
      </c>
      <c r="E360" t="s">
        <v>52</v>
      </c>
      <c r="F360" t="s">
        <v>23</v>
      </c>
      <c r="G360" t="str">
        <f>HYPERLINK(_xlfn.CONCAT("https://tablet.otzar.org/",CHAR(35),"/book/157336/p/-1/t/1/fs/0/start/0/end/0/c"),"מלות ההגיון")</f>
        <v>מלות ההגיון</v>
      </c>
      <c r="H360" t="str">
        <f>_xlfn.CONCAT("https://tablet.otzar.org/",CHAR(35),"/book/157336/p/-1/t/1/fs/0/start/0/end/0/c")</f>
        <v>https://tablet.otzar.org/#/book/157336/p/-1/t/1/fs/0/start/0/end/0/c</v>
      </c>
    </row>
    <row r="361" spans="1:8" x14ac:dyDescent="0.25">
      <c r="A361">
        <v>155211</v>
      </c>
      <c r="B361" t="s">
        <v>779</v>
      </c>
      <c r="C361" t="s">
        <v>780</v>
      </c>
      <c r="D361" t="s">
        <v>10</v>
      </c>
      <c r="E361" t="s">
        <v>289</v>
      </c>
      <c r="F361" t="s">
        <v>55</v>
      </c>
      <c r="G361" t="str">
        <f>HYPERLINK(_xlfn.CONCAT("https://tablet.otzar.org/",CHAR(35),"/book/155211/p/-1/t/1/fs/0/start/0/end/0/c"),"מלחמות השם")</f>
        <v>מלחמות השם</v>
      </c>
      <c r="H361" t="str">
        <f>_xlfn.CONCAT("https://tablet.otzar.org/",CHAR(35),"/book/155211/p/-1/t/1/fs/0/start/0/end/0/c")</f>
        <v>https://tablet.otzar.org/#/book/155211/p/-1/t/1/fs/0/start/0/end/0/c</v>
      </c>
    </row>
    <row r="362" spans="1:8" x14ac:dyDescent="0.25">
      <c r="A362">
        <v>156278</v>
      </c>
      <c r="B362" t="s">
        <v>781</v>
      </c>
      <c r="C362" t="s">
        <v>782</v>
      </c>
      <c r="D362" t="s">
        <v>10</v>
      </c>
      <c r="E362" t="s">
        <v>109</v>
      </c>
      <c r="F362" t="s">
        <v>158</v>
      </c>
      <c r="G362" t="str">
        <f>HYPERLINK(_xlfn.CONCAT("https://tablet.otzar.org/",CHAR(35),"/book/156278/p/-1/t/1/fs/0/start/0/end/0/c"),"מלחמת המגן והישועה")</f>
        <v>מלחמת המגן והישועה</v>
      </c>
      <c r="H362" t="str">
        <f>_xlfn.CONCAT("https://tablet.otzar.org/",CHAR(35),"/book/156278/p/-1/t/1/fs/0/start/0/end/0/c")</f>
        <v>https://tablet.otzar.org/#/book/156278/p/-1/t/1/fs/0/start/0/end/0/c</v>
      </c>
    </row>
    <row r="363" spans="1:8" x14ac:dyDescent="0.25">
      <c r="A363">
        <v>194433</v>
      </c>
      <c r="B363" t="s">
        <v>783</v>
      </c>
      <c r="C363" t="s">
        <v>784</v>
      </c>
      <c r="D363" t="s">
        <v>10</v>
      </c>
      <c r="E363" t="s">
        <v>65</v>
      </c>
      <c r="F363" t="s">
        <v>19</v>
      </c>
      <c r="G363" t="str">
        <f>HYPERLINK(_xlfn.CONCAT("https://tablet.otzar.org/",CHAR(35),"/book/194433/p/-1/t/1/fs/0/start/0/end/0/c"),"ממך אליך אברח")</f>
        <v>ממך אליך אברח</v>
      </c>
      <c r="H363" t="str">
        <f>_xlfn.CONCAT("https://tablet.otzar.org/",CHAR(35),"/book/194433/p/-1/t/1/fs/0/start/0/end/0/c")</f>
        <v>https://tablet.otzar.org/#/book/194433/p/-1/t/1/fs/0/start/0/end/0/c</v>
      </c>
    </row>
    <row r="364" spans="1:8" x14ac:dyDescent="0.25">
      <c r="A364">
        <v>182402</v>
      </c>
      <c r="B364" t="s">
        <v>785</v>
      </c>
      <c r="C364" t="s">
        <v>786</v>
      </c>
      <c r="D364" t="s">
        <v>10</v>
      </c>
      <c r="E364" t="s">
        <v>25</v>
      </c>
      <c r="F364" t="s">
        <v>19</v>
      </c>
      <c r="G364" t="str">
        <f>HYPERLINK(_xlfn.CONCAT("https://tablet.otzar.org/",CHAR(35),"/book/182402/p/-1/t/1/fs/0/start/0/end/0/c"),"ממעיני קדם")</f>
        <v>ממעיני קדם</v>
      </c>
      <c r="H364" t="str">
        <f>_xlfn.CONCAT("https://tablet.otzar.org/",CHAR(35),"/book/182402/p/-1/t/1/fs/0/start/0/end/0/c")</f>
        <v>https://tablet.otzar.org/#/book/182402/p/-1/t/1/fs/0/start/0/end/0/c</v>
      </c>
    </row>
    <row r="365" spans="1:8" x14ac:dyDescent="0.25">
      <c r="A365">
        <v>156994</v>
      </c>
      <c r="B365" t="s">
        <v>787</v>
      </c>
      <c r="C365" t="s">
        <v>788</v>
      </c>
      <c r="D365" t="s">
        <v>10</v>
      </c>
      <c r="E365" t="s">
        <v>204</v>
      </c>
      <c r="G365" t="str">
        <f>HYPERLINK(_xlfn.CONCAT("https://tablet.otzar.org/",CHAR(35),"/exKotar/156994"),"ממשנתם של חכמי פראג - 2 כרכים")</f>
        <v>ממשנתם של חכמי פראג - 2 כרכים</v>
      </c>
      <c r="H365" t="str">
        <f>_xlfn.CONCAT("https://tablet.otzar.org/",CHAR(35),"/exKotar/156994")</f>
        <v>https://tablet.otzar.org/#/exKotar/156994</v>
      </c>
    </row>
    <row r="366" spans="1:8" x14ac:dyDescent="0.25">
      <c r="A366">
        <v>155567</v>
      </c>
      <c r="B366" t="s">
        <v>789</v>
      </c>
      <c r="C366" t="s">
        <v>790</v>
      </c>
      <c r="D366" t="s">
        <v>10</v>
      </c>
      <c r="E366" t="s">
        <v>143</v>
      </c>
      <c r="F366" t="s">
        <v>158</v>
      </c>
      <c r="G366" t="str">
        <f>HYPERLINK(_xlfn.CONCAT("https://tablet.otzar.org/",CHAR(35),"/book/155567/p/-1/t/1/fs/0/start/0/end/0/c"),"מן המצר קראתי")</f>
        <v>מן המצר קראתי</v>
      </c>
      <c r="H366" t="str">
        <f>_xlfn.CONCAT("https://tablet.otzar.org/",CHAR(35),"/book/155567/p/-1/t/1/fs/0/start/0/end/0/c")</f>
        <v>https://tablet.otzar.org/#/book/155567/p/-1/t/1/fs/0/start/0/end/0/c</v>
      </c>
    </row>
    <row r="367" spans="1:8" x14ac:dyDescent="0.25">
      <c r="A367">
        <v>155308</v>
      </c>
      <c r="B367" t="s">
        <v>791</v>
      </c>
      <c r="C367" t="s">
        <v>792</v>
      </c>
      <c r="D367" t="s">
        <v>10</v>
      </c>
      <c r="E367" t="s">
        <v>109</v>
      </c>
      <c r="F367" t="s">
        <v>85</v>
      </c>
      <c r="G367" t="str">
        <f>HYPERLINK(_xlfn.CONCAT("https://tablet.otzar.org/",CHAR(35),"/book/155308/p/-1/t/1/fs/0/start/0/end/0/c"),"מנהגי ארץ ישראל")</f>
        <v>מנהגי ארץ ישראל</v>
      </c>
      <c r="H367" t="str">
        <f>_xlfn.CONCAT("https://tablet.otzar.org/",CHAR(35),"/book/155308/p/-1/t/1/fs/0/start/0/end/0/c")</f>
        <v>https://tablet.otzar.org/#/book/155308/p/-1/t/1/fs/0/start/0/end/0/c</v>
      </c>
    </row>
    <row r="368" spans="1:8" x14ac:dyDescent="0.25">
      <c r="A368">
        <v>155059</v>
      </c>
      <c r="B368" t="s">
        <v>793</v>
      </c>
      <c r="C368" t="s">
        <v>794</v>
      </c>
      <c r="D368" t="s">
        <v>10</v>
      </c>
      <c r="E368" t="s">
        <v>604</v>
      </c>
      <c r="F368" t="s">
        <v>85</v>
      </c>
      <c r="G368" t="str">
        <f>HYPERLINK(_xlfn.CONCAT("https://tablet.otzar.org/",CHAR(35),"/exKotar/155059"),"מנהגי ישראל - 8 כרכים")</f>
        <v>מנהגי ישראל - 8 כרכים</v>
      </c>
      <c r="H368" t="str">
        <f>_xlfn.CONCAT("https://tablet.otzar.org/",CHAR(35),"/exKotar/155059")</f>
        <v>https://tablet.otzar.org/#/exKotar/155059</v>
      </c>
    </row>
    <row r="369" spans="1:8" x14ac:dyDescent="0.25">
      <c r="A369">
        <v>155282</v>
      </c>
      <c r="B369" t="s">
        <v>795</v>
      </c>
      <c r="C369" t="s">
        <v>796</v>
      </c>
      <c r="D369" t="s">
        <v>10</v>
      </c>
      <c r="E369" t="s">
        <v>140</v>
      </c>
      <c r="F369" t="s">
        <v>85</v>
      </c>
      <c r="G369" t="str">
        <f>HYPERLINK(_xlfn.CONCAT("https://tablet.otzar.org/",CHAR(35),"/book/155282/p/-1/t/1/fs/0/start/0/end/0/c"),"מנורת המאור &lt;מוה""""ק&gt;")</f>
        <v>מנורת המאור &lt;מוה""ק&gt;</v>
      </c>
      <c r="H369" t="str">
        <f>_xlfn.CONCAT("https://tablet.otzar.org/",CHAR(35),"/book/155282/p/-1/t/1/fs/0/start/0/end/0/c")</f>
        <v>https://tablet.otzar.org/#/book/155282/p/-1/t/1/fs/0/start/0/end/0/c</v>
      </c>
    </row>
    <row r="370" spans="1:8" x14ac:dyDescent="0.25">
      <c r="A370">
        <v>170007</v>
      </c>
      <c r="B370" t="s">
        <v>797</v>
      </c>
      <c r="C370" t="s">
        <v>798</v>
      </c>
      <c r="D370" t="s">
        <v>10</v>
      </c>
      <c r="E370" t="s">
        <v>157</v>
      </c>
      <c r="F370" t="s">
        <v>19</v>
      </c>
      <c r="G370" t="str">
        <f>HYPERLINK(_xlfn.CONCAT("https://tablet.otzar.org/",CHAR(35),"/book/170007/p/-1/t/1/fs/0/start/0/end/0/c"),"מנחת יהודה - א (בראשית)")</f>
        <v>מנחת יהודה - א (בראשית)</v>
      </c>
      <c r="H370" t="str">
        <f>_xlfn.CONCAT("https://tablet.otzar.org/",CHAR(35),"/book/170007/p/-1/t/1/fs/0/start/0/end/0/c")</f>
        <v>https://tablet.otzar.org/#/book/170007/p/-1/t/1/fs/0/start/0/end/0/c</v>
      </c>
    </row>
    <row r="371" spans="1:8" x14ac:dyDescent="0.25">
      <c r="A371">
        <v>155229</v>
      </c>
      <c r="B371" t="s">
        <v>799</v>
      </c>
      <c r="C371" t="s">
        <v>800</v>
      </c>
      <c r="D371" t="s">
        <v>10</v>
      </c>
      <c r="E371" t="s">
        <v>347</v>
      </c>
      <c r="F371" t="s">
        <v>218</v>
      </c>
      <c r="G371" t="str">
        <f>HYPERLINK(_xlfn.CONCAT("https://tablet.otzar.org/",CHAR(35),"/exKotar/155229"),"מנחת פתים &lt;מוה""""ק&gt;  - 2 כרכים")</f>
        <v>מנחת פתים &lt;מוה""ק&gt;  - 2 כרכים</v>
      </c>
      <c r="H371" t="str">
        <f>_xlfn.CONCAT("https://tablet.otzar.org/",CHAR(35),"/exKotar/155229")</f>
        <v>https://tablet.otzar.org/#/exKotar/155229</v>
      </c>
    </row>
    <row r="372" spans="1:8" x14ac:dyDescent="0.25">
      <c r="A372">
        <v>158438</v>
      </c>
      <c r="B372" t="s">
        <v>801</v>
      </c>
      <c r="C372" t="s">
        <v>125</v>
      </c>
      <c r="D372" t="s">
        <v>10</v>
      </c>
      <c r="E372" t="s">
        <v>32</v>
      </c>
      <c r="F372" t="s">
        <v>40</v>
      </c>
      <c r="G372" t="str">
        <f>HYPERLINK(_xlfn.CONCAT("https://tablet.otzar.org/",CHAR(35),"/book/158438/p/-1/t/1/fs/0/start/0/end/0/c"),"מסוד חכמים")</f>
        <v>מסוד חכמים</v>
      </c>
      <c r="H372" t="str">
        <f>_xlfn.CONCAT("https://tablet.otzar.org/",CHAR(35),"/book/158438/p/-1/t/1/fs/0/start/0/end/0/c")</f>
        <v>https://tablet.otzar.org/#/book/158438/p/-1/t/1/fs/0/start/0/end/0/c</v>
      </c>
    </row>
    <row r="373" spans="1:8" x14ac:dyDescent="0.25">
      <c r="A373">
        <v>156244</v>
      </c>
      <c r="B373" t="s">
        <v>802</v>
      </c>
      <c r="C373" t="s">
        <v>803</v>
      </c>
      <c r="D373" t="s">
        <v>10</v>
      </c>
      <c r="E373" t="s">
        <v>579</v>
      </c>
      <c r="F373" t="s">
        <v>23</v>
      </c>
      <c r="G373" t="str">
        <f>HYPERLINK(_xlfn.CONCAT("https://tablet.otzar.org/",CHAR(35),"/book/156244/p/-1/t/1/fs/0/start/0/end/0/c"),"מסות ומסעות")</f>
        <v>מסות ומסעות</v>
      </c>
      <c r="H373" t="str">
        <f>_xlfn.CONCAT("https://tablet.otzar.org/",CHAR(35),"/book/156244/p/-1/t/1/fs/0/start/0/end/0/c")</f>
        <v>https://tablet.otzar.org/#/book/156244/p/-1/t/1/fs/0/start/0/end/0/c</v>
      </c>
    </row>
    <row r="374" spans="1:8" x14ac:dyDescent="0.25">
      <c r="A374">
        <v>155289</v>
      </c>
      <c r="B374" t="s">
        <v>804</v>
      </c>
      <c r="C374" t="s">
        <v>805</v>
      </c>
      <c r="D374" t="s">
        <v>10</v>
      </c>
      <c r="E374" t="s">
        <v>46</v>
      </c>
      <c r="F374" t="s">
        <v>55</v>
      </c>
      <c r="G374" t="str">
        <f>HYPERLINK(_xlfn.CONCAT("https://tablet.otzar.org/",CHAR(35),"/book/155289/p/-1/t/1/fs/0/start/0/end/0/c"),"מסילת ישרים עם ביאורים ישרים")</f>
        <v>מסילת ישרים עם ביאורים ישרים</v>
      </c>
      <c r="H374" t="str">
        <f>_xlfn.CONCAT("https://tablet.otzar.org/",CHAR(35),"/book/155289/p/-1/t/1/fs/0/start/0/end/0/c")</f>
        <v>https://tablet.otzar.org/#/book/155289/p/-1/t/1/fs/0/start/0/end/0/c</v>
      </c>
    </row>
    <row r="375" spans="1:8" x14ac:dyDescent="0.25">
      <c r="A375">
        <v>155547</v>
      </c>
      <c r="B375" t="s">
        <v>806</v>
      </c>
      <c r="C375" t="s">
        <v>807</v>
      </c>
      <c r="D375" t="s">
        <v>10</v>
      </c>
      <c r="E375" t="s">
        <v>46</v>
      </c>
      <c r="F375" t="s">
        <v>55</v>
      </c>
      <c r="G375" t="str">
        <f>HYPERLINK(_xlfn.CONCAT("https://tablet.otzar.org/",CHAR(35),"/book/155547/p/-1/t/1/fs/0/start/0/end/0/c"),"מסילת ישרים עם פירוש מסילות יהודה")</f>
        <v>מסילת ישרים עם פירוש מסילות יהודה</v>
      </c>
      <c r="H375" t="str">
        <f>_xlfn.CONCAT("https://tablet.otzar.org/",CHAR(35),"/book/155547/p/-1/t/1/fs/0/start/0/end/0/c")</f>
        <v>https://tablet.otzar.org/#/book/155547/p/-1/t/1/fs/0/start/0/end/0/c</v>
      </c>
    </row>
    <row r="376" spans="1:8" x14ac:dyDescent="0.25">
      <c r="A376">
        <v>677767</v>
      </c>
      <c r="B376" t="s">
        <v>808</v>
      </c>
      <c r="C376" t="s">
        <v>31</v>
      </c>
      <c r="D376" t="s">
        <v>10</v>
      </c>
      <c r="E376" t="s">
        <v>338</v>
      </c>
      <c r="F376" t="s">
        <v>809</v>
      </c>
      <c r="G376" t="str">
        <f>HYPERLINK(_xlfn.CONCAT("https://tablet.otzar.org/",CHAR(35),"/book/677767/p/-1/t/1/fs/0/start/0/end/0/c"),"מסכת אבות עם פירוש רש""""ר הירש")</f>
        <v>מסכת אבות עם פירוש רש""ר הירש</v>
      </c>
      <c r="H376" t="str">
        <f>_xlfn.CONCAT("https://tablet.otzar.org/",CHAR(35),"/book/677767/p/-1/t/1/fs/0/start/0/end/0/c")</f>
        <v>https://tablet.otzar.org/#/book/677767/p/-1/t/1/fs/0/start/0/end/0/c</v>
      </c>
    </row>
    <row r="377" spans="1:8" x14ac:dyDescent="0.25">
      <c r="A377">
        <v>155577</v>
      </c>
      <c r="B377" t="s">
        <v>810</v>
      </c>
      <c r="C377" t="s">
        <v>811</v>
      </c>
      <c r="D377" t="s">
        <v>10</v>
      </c>
      <c r="E377" t="s">
        <v>416</v>
      </c>
      <c r="F377" t="s">
        <v>23</v>
      </c>
      <c r="G377" t="str">
        <f>HYPERLINK(_xlfn.CONCAT("https://tablet.otzar.org/",CHAR(35),"/book/155577/p/-1/t/1/fs/0/start/0/end/0/c"),"מעבר להרים")</f>
        <v>מעבר להרים</v>
      </c>
      <c r="H377" t="str">
        <f>_xlfn.CONCAT("https://tablet.otzar.org/",CHAR(35),"/book/155577/p/-1/t/1/fs/0/start/0/end/0/c")</f>
        <v>https://tablet.otzar.org/#/book/155577/p/-1/t/1/fs/0/start/0/end/0/c</v>
      </c>
    </row>
    <row r="378" spans="1:8" x14ac:dyDescent="0.25">
      <c r="A378">
        <v>158423</v>
      </c>
      <c r="B378" t="s">
        <v>812</v>
      </c>
      <c r="C378" t="s">
        <v>813</v>
      </c>
      <c r="D378" t="s">
        <v>10</v>
      </c>
      <c r="E378" t="s">
        <v>18</v>
      </c>
      <c r="F378" t="s">
        <v>23</v>
      </c>
      <c r="G378" t="str">
        <f>HYPERLINK(_xlfn.CONCAT("https://tablet.otzar.org/",CHAR(35),"/exKotar/158423"),"מערכות האמוראים - 3 כרכים")</f>
        <v>מערכות האמוראים - 3 כרכים</v>
      </c>
      <c r="H378" t="str">
        <f>_xlfn.CONCAT("https://tablet.otzar.org/",CHAR(35),"/exKotar/158423")</f>
        <v>https://tablet.otzar.org/#/exKotar/158423</v>
      </c>
    </row>
    <row r="379" spans="1:8" x14ac:dyDescent="0.25">
      <c r="A379">
        <v>158414</v>
      </c>
      <c r="B379" t="s">
        <v>814</v>
      </c>
      <c r="C379" t="s">
        <v>813</v>
      </c>
      <c r="D379" t="s">
        <v>10</v>
      </c>
      <c r="E379" t="s">
        <v>15</v>
      </c>
      <c r="F379" t="s">
        <v>23</v>
      </c>
      <c r="G379" t="str">
        <f>HYPERLINK(_xlfn.CONCAT("https://tablet.otzar.org/",CHAR(35),"/exKotar/158414"),"מערכות תנאים - 12 כרכים")</f>
        <v>מערכות תנאים - 12 כרכים</v>
      </c>
      <c r="H379" t="str">
        <f>_xlfn.CONCAT("https://tablet.otzar.org/",CHAR(35),"/exKotar/158414")</f>
        <v>https://tablet.otzar.org/#/exKotar/158414</v>
      </c>
    </row>
    <row r="380" spans="1:8" x14ac:dyDescent="0.25">
      <c r="A380">
        <v>155568</v>
      </c>
      <c r="B380" t="s">
        <v>815</v>
      </c>
      <c r="C380" t="s">
        <v>816</v>
      </c>
      <c r="D380" t="s">
        <v>10</v>
      </c>
      <c r="E380" t="s">
        <v>359</v>
      </c>
      <c r="F380" t="s">
        <v>85</v>
      </c>
      <c r="G380" t="str">
        <f>HYPERLINK(_xlfn.CONCAT("https://tablet.otzar.org/",CHAR(35),"/book/155568/p/-1/t/1/fs/0/start/0/end/0/c"),"מערכי לב")</f>
        <v>מערכי לב</v>
      </c>
      <c r="H380" t="str">
        <f>_xlfn.CONCAT("https://tablet.otzar.org/",CHAR(35),"/book/155568/p/-1/t/1/fs/0/start/0/end/0/c")</f>
        <v>https://tablet.otzar.org/#/book/155568/p/-1/t/1/fs/0/start/0/end/0/c</v>
      </c>
    </row>
    <row r="381" spans="1:8" x14ac:dyDescent="0.25">
      <c r="A381">
        <v>157015</v>
      </c>
      <c r="B381" t="s">
        <v>817</v>
      </c>
      <c r="C381" t="s">
        <v>818</v>
      </c>
      <c r="D381" t="s">
        <v>10</v>
      </c>
      <c r="E381" t="s">
        <v>104</v>
      </c>
      <c r="G381" t="str">
        <f>HYPERLINK(_xlfn.CONCAT("https://tablet.otzar.org/",CHAR(35),"/book/157015/p/-1/t/1/fs/0/start/0/end/0/c"),"מעשה הבא בעבירה")</f>
        <v>מעשה הבא בעבירה</v>
      </c>
      <c r="H381" t="str">
        <f>_xlfn.CONCAT("https://tablet.otzar.org/",CHAR(35),"/book/157015/p/-1/t/1/fs/0/start/0/end/0/c")</f>
        <v>https://tablet.otzar.org/#/book/157015/p/-1/t/1/fs/0/start/0/end/0/c</v>
      </c>
    </row>
    <row r="382" spans="1:8" x14ac:dyDescent="0.25">
      <c r="A382">
        <v>601675</v>
      </c>
      <c r="B382" t="s">
        <v>819</v>
      </c>
      <c r="C382" t="s">
        <v>820</v>
      </c>
      <c r="D382" t="s">
        <v>10</v>
      </c>
      <c r="E382" t="s">
        <v>187</v>
      </c>
      <c r="G382" t="str">
        <f>HYPERLINK(_xlfn.CONCAT("https://tablet.otzar.org/",CHAR(35),"/book/601675/p/-1/t/1/fs/0/start/0/end/0/c"),"מעשה רב &lt;מוה""""ק&gt;")</f>
        <v>מעשה רב &lt;מוה""ק&gt;</v>
      </c>
      <c r="H382" t="str">
        <f>_xlfn.CONCAT("https://tablet.otzar.org/",CHAR(35),"/book/601675/p/-1/t/1/fs/0/start/0/end/0/c")</f>
        <v>https://tablet.otzar.org/#/book/601675/p/-1/t/1/fs/0/start/0/end/0/c</v>
      </c>
    </row>
    <row r="383" spans="1:8" x14ac:dyDescent="0.25">
      <c r="A383">
        <v>157370</v>
      </c>
      <c r="B383" t="s">
        <v>821</v>
      </c>
      <c r="C383" t="s">
        <v>822</v>
      </c>
      <c r="D383" t="s">
        <v>10</v>
      </c>
      <c r="E383" t="s">
        <v>87</v>
      </c>
      <c r="F383" t="s">
        <v>23</v>
      </c>
      <c r="G383" t="str">
        <f>HYPERLINK(_xlfn.CONCAT("https://tablet.otzar.org/",CHAR(35),"/book/157370/p/-1/t/1/fs/0/start/0/end/0/c"),"מפי בעלי לשונות")</f>
        <v>מפי בעלי לשונות</v>
      </c>
      <c r="H383" t="str">
        <f>_xlfn.CONCAT("https://tablet.otzar.org/",CHAR(35),"/book/157370/p/-1/t/1/fs/0/start/0/end/0/c")</f>
        <v>https://tablet.otzar.org/#/book/157370/p/-1/t/1/fs/0/start/0/end/0/c</v>
      </c>
    </row>
    <row r="384" spans="1:8" x14ac:dyDescent="0.25">
      <c r="A384">
        <v>155178</v>
      </c>
      <c r="B384" t="s">
        <v>823</v>
      </c>
      <c r="C384" t="s">
        <v>824</v>
      </c>
      <c r="D384" t="s">
        <v>10</v>
      </c>
      <c r="E384" t="s">
        <v>447</v>
      </c>
      <c r="F384" t="s">
        <v>19</v>
      </c>
      <c r="G384" t="str">
        <f>HYPERLINK(_xlfn.CONCAT("https://tablet.otzar.org/",CHAR(35),"/book/155178/p/-1/t/1/fs/0/start/0/end/0/c"),"מפירושי רב סעדיה למקרא")</f>
        <v>מפירושי רב סעדיה למקרא</v>
      </c>
      <c r="H384" t="str">
        <f>_xlfn.CONCAT("https://tablet.otzar.org/",CHAR(35),"/book/155178/p/-1/t/1/fs/0/start/0/end/0/c")</f>
        <v>https://tablet.otzar.org/#/book/155178/p/-1/t/1/fs/0/start/0/end/0/c</v>
      </c>
    </row>
    <row r="385" spans="1:8" x14ac:dyDescent="0.25">
      <c r="A385">
        <v>155225</v>
      </c>
      <c r="B385" t="s">
        <v>825</v>
      </c>
      <c r="C385" t="s">
        <v>826</v>
      </c>
      <c r="D385" t="s">
        <v>10</v>
      </c>
      <c r="E385" t="s">
        <v>22</v>
      </c>
      <c r="F385" t="s">
        <v>19</v>
      </c>
      <c r="G385" t="str">
        <f>HYPERLINK(_xlfn.CONCAT("https://tablet.otzar.org/",CHAR(35),"/exKotar/155225"),"מפניני הרמב""""ם - 2 כרכים")</f>
        <v>מפניני הרמב""ם - 2 כרכים</v>
      </c>
      <c r="H385" t="str">
        <f>_xlfn.CONCAT("https://tablet.otzar.org/",CHAR(35),"/exKotar/155225")</f>
        <v>https://tablet.otzar.org/#/exKotar/155225</v>
      </c>
    </row>
    <row r="386" spans="1:8" x14ac:dyDescent="0.25">
      <c r="A386">
        <v>155144</v>
      </c>
      <c r="B386" t="s">
        <v>827</v>
      </c>
      <c r="C386" t="s">
        <v>441</v>
      </c>
      <c r="D386" t="s">
        <v>10</v>
      </c>
      <c r="E386" t="s">
        <v>46</v>
      </c>
      <c r="F386" t="s">
        <v>85</v>
      </c>
      <c r="G386" t="str">
        <f>HYPERLINK(_xlfn.CONCAT("https://tablet.otzar.org/",CHAR(35),"/exKotar/155144"),"מפניני הרמב""""ם &lt;באנגלית&gt;  - 2 כרכים")</f>
        <v>מפניני הרמב""ם &lt;באנגלית&gt;  - 2 כרכים</v>
      </c>
      <c r="H386" t="str">
        <f>_xlfn.CONCAT("https://tablet.otzar.org/",CHAR(35),"/exKotar/155144")</f>
        <v>https://tablet.otzar.org/#/exKotar/155144</v>
      </c>
    </row>
    <row r="387" spans="1:8" x14ac:dyDescent="0.25">
      <c r="A387">
        <v>156240</v>
      </c>
      <c r="B387" t="s">
        <v>828</v>
      </c>
      <c r="C387" t="s">
        <v>829</v>
      </c>
      <c r="D387" t="s">
        <v>10</v>
      </c>
      <c r="E387" t="s">
        <v>314</v>
      </c>
      <c r="F387" t="s">
        <v>158</v>
      </c>
      <c r="G387" t="str">
        <f>HYPERLINK(_xlfn.CONCAT("https://tablet.otzar.org/",CHAR(35),"/book/156240/p/-1/t/1/fs/0/start/0/end/0/c"),"מצבות קודש בארץ ישראל")</f>
        <v>מצבות קודש בארץ ישראל</v>
      </c>
      <c r="H387" t="str">
        <f>_xlfn.CONCAT("https://tablet.otzar.org/",CHAR(35),"/book/156240/p/-1/t/1/fs/0/start/0/end/0/c")</f>
        <v>https://tablet.otzar.org/#/book/156240/p/-1/t/1/fs/0/start/0/end/0/c</v>
      </c>
    </row>
    <row r="388" spans="1:8" x14ac:dyDescent="0.25">
      <c r="A388">
        <v>154986</v>
      </c>
      <c r="B388" t="s">
        <v>830</v>
      </c>
      <c r="C388" t="s">
        <v>21</v>
      </c>
      <c r="D388" t="s">
        <v>10</v>
      </c>
      <c r="E388" t="s">
        <v>80</v>
      </c>
      <c r="F388" t="s">
        <v>831</v>
      </c>
      <c r="G388" t="str">
        <f>HYPERLINK(_xlfn.CONCAT("https://tablet.otzar.org/",CHAR(35),"/book/154986/p/-1/t/1/fs/0/start/0/end/0/c"),"מצות ראיה")</f>
        <v>מצות ראיה</v>
      </c>
      <c r="H388" t="str">
        <f>_xlfn.CONCAT("https://tablet.otzar.org/",CHAR(35),"/book/154986/p/-1/t/1/fs/0/start/0/end/0/c")</f>
        <v>https://tablet.otzar.org/#/book/154986/p/-1/t/1/fs/0/start/0/end/0/c</v>
      </c>
    </row>
    <row r="389" spans="1:8" x14ac:dyDescent="0.25">
      <c r="A389">
        <v>622910</v>
      </c>
      <c r="B389" t="s">
        <v>832</v>
      </c>
      <c r="C389" t="s">
        <v>833</v>
      </c>
      <c r="G389" t="str">
        <f>HYPERLINK(_xlfn.CONCAT("https://tablet.otzar.org/",CHAR(35),"/book/622910/p/-1/t/1/fs/0/start/0/end/0/c"),"מצמיח קרן ישועה")</f>
        <v>מצמיח קרן ישועה</v>
      </c>
      <c r="H389" t="str">
        <f>_xlfn.CONCAT("https://tablet.otzar.org/",CHAR(35),"/book/622910/p/-1/t/1/fs/0/start/0/end/0/c")</f>
        <v>https://tablet.otzar.org/#/book/622910/p/-1/t/1/fs/0/start/0/end/0/c</v>
      </c>
    </row>
    <row r="390" spans="1:8" x14ac:dyDescent="0.25">
      <c r="A390">
        <v>157313</v>
      </c>
      <c r="B390" t="s">
        <v>834</v>
      </c>
      <c r="C390" t="s">
        <v>835</v>
      </c>
      <c r="D390" t="s">
        <v>10</v>
      </c>
      <c r="E390" t="s">
        <v>278</v>
      </c>
      <c r="F390" t="s">
        <v>158</v>
      </c>
      <c r="G390" t="str">
        <f>HYPERLINK(_xlfn.CONCAT("https://tablet.otzar.org/",CHAR(35),"/book/157313/p/-1/t/1/fs/0/start/0/end/0/c"),"מקורות ומחקרים בתולדות ישראל")</f>
        <v>מקורות ומחקרים בתולדות ישראל</v>
      </c>
      <c r="H390" t="str">
        <f>_xlfn.CONCAT("https://tablet.otzar.org/",CHAR(35),"/book/157313/p/-1/t/1/fs/0/start/0/end/0/c")</f>
        <v>https://tablet.otzar.org/#/book/157313/p/-1/t/1/fs/0/start/0/end/0/c</v>
      </c>
    </row>
    <row r="391" spans="1:8" x14ac:dyDescent="0.25">
      <c r="A391">
        <v>14655</v>
      </c>
      <c r="B391" t="s">
        <v>836</v>
      </c>
      <c r="C391" t="s">
        <v>837</v>
      </c>
      <c r="D391" t="s">
        <v>10</v>
      </c>
      <c r="E391" t="s">
        <v>15</v>
      </c>
      <c r="F391" t="s">
        <v>838</v>
      </c>
      <c r="G391" t="str">
        <f>HYPERLINK(_xlfn.CONCAT("https://tablet.otzar.org/",CHAR(35),"/exKotar/14655"),"מקורות ילקוט שמעוני - 2 כרכים")</f>
        <v>מקורות ילקוט שמעוני - 2 כרכים</v>
      </c>
      <c r="H391" t="str">
        <f>_xlfn.CONCAT("https://tablet.otzar.org/",CHAR(35),"/exKotar/14655")</f>
        <v>https://tablet.otzar.org/#/exKotar/14655</v>
      </c>
    </row>
    <row r="392" spans="1:8" x14ac:dyDescent="0.25">
      <c r="A392">
        <v>157017</v>
      </c>
      <c r="B392" t="s">
        <v>839</v>
      </c>
      <c r="C392" t="s">
        <v>840</v>
      </c>
      <c r="D392" t="s">
        <v>10</v>
      </c>
      <c r="E392" t="s">
        <v>289</v>
      </c>
      <c r="G392" t="str">
        <f>HYPERLINK(_xlfn.CONCAT("https://tablet.otzar.org/",CHAR(35),"/book/157017/p/-1/t/1/fs/0/start/0/end/0/c"),"מרביץ תורה")</f>
        <v>מרביץ תורה</v>
      </c>
      <c r="H392" t="str">
        <f>_xlfn.CONCAT("https://tablet.otzar.org/",CHAR(35),"/book/157017/p/-1/t/1/fs/0/start/0/end/0/c")</f>
        <v>https://tablet.otzar.org/#/book/157017/p/-1/t/1/fs/0/start/0/end/0/c</v>
      </c>
    </row>
    <row r="393" spans="1:8" x14ac:dyDescent="0.25">
      <c r="A393">
        <v>144633</v>
      </c>
      <c r="B393" t="s">
        <v>841</v>
      </c>
      <c r="C393" t="s">
        <v>462</v>
      </c>
      <c r="D393" t="s">
        <v>10</v>
      </c>
      <c r="E393" t="s">
        <v>416</v>
      </c>
      <c r="F393" t="s">
        <v>218</v>
      </c>
      <c r="G393" t="str">
        <f>HYPERLINK(_xlfn.CONCAT("https://tablet.otzar.org/",CHAR(35),"/book/144633/p/-1/t/1/fs/0/start/0/end/0/c"),"מרגליות הים")</f>
        <v>מרגליות הים</v>
      </c>
      <c r="H393" t="str">
        <f>_xlfn.CONCAT("https://tablet.otzar.org/",CHAR(35),"/book/144633/p/-1/t/1/fs/0/start/0/end/0/c")</f>
        <v>https://tablet.otzar.org/#/book/144633/p/-1/t/1/fs/0/start/0/end/0/c</v>
      </c>
    </row>
    <row r="394" spans="1:8" x14ac:dyDescent="0.25">
      <c r="A394">
        <v>156211</v>
      </c>
      <c r="B394" t="s">
        <v>842</v>
      </c>
      <c r="C394" t="s">
        <v>659</v>
      </c>
      <c r="D394" t="s">
        <v>10</v>
      </c>
      <c r="E394" t="s">
        <v>204</v>
      </c>
      <c r="F394" t="s">
        <v>19</v>
      </c>
      <c r="G394" t="str">
        <f>HYPERLINK(_xlfn.CONCAT("https://tablet.otzar.org/",CHAR(35),"/book/156211/p/-1/t/1/fs/0/start/0/end/0/c"),"מרכבת המשנה על התורה")</f>
        <v>מרכבת המשנה על התורה</v>
      </c>
      <c r="H394" t="str">
        <f>_xlfn.CONCAT("https://tablet.otzar.org/",CHAR(35),"/book/156211/p/-1/t/1/fs/0/start/0/end/0/c")</f>
        <v>https://tablet.otzar.org/#/book/156211/p/-1/t/1/fs/0/start/0/end/0/c</v>
      </c>
    </row>
    <row r="395" spans="1:8" x14ac:dyDescent="0.25">
      <c r="A395">
        <v>15631</v>
      </c>
      <c r="B395" t="s">
        <v>843</v>
      </c>
      <c r="C395" t="s">
        <v>163</v>
      </c>
      <c r="D395" t="s">
        <v>10</v>
      </c>
      <c r="E395" t="s">
        <v>80</v>
      </c>
      <c r="F395" t="s">
        <v>158</v>
      </c>
      <c r="G395" t="str">
        <f>HYPERLINK(_xlfn.CONCAT("https://tablet.otzar.org/",CHAR(35),"/book/15631/p/-1/t/1/fs/0/start/0/end/0/c"),"מרכז התורה בפרובאנס")</f>
        <v>מרכז התורה בפרובאנס</v>
      </c>
      <c r="H395" t="str">
        <f>_xlfn.CONCAT("https://tablet.otzar.org/",CHAR(35),"/book/15631/p/-1/t/1/fs/0/start/0/end/0/c")</f>
        <v>https://tablet.otzar.org/#/book/15631/p/-1/t/1/fs/0/start/0/end/0/c</v>
      </c>
    </row>
    <row r="396" spans="1:8" x14ac:dyDescent="0.25">
      <c r="A396">
        <v>155376</v>
      </c>
      <c r="B396" t="s">
        <v>844</v>
      </c>
      <c r="C396" t="s">
        <v>845</v>
      </c>
      <c r="D396" t="s">
        <v>10</v>
      </c>
      <c r="E396" t="s">
        <v>132</v>
      </c>
      <c r="G396" t="str">
        <f>HYPERLINK(_xlfn.CONCAT("https://tablet.otzar.org/",CHAR(35),"/book/155376/p/-1/t/1/fs/0/start/0/end/0/c"),"משא עובדיה")</f>
        <v>משא עובדיה</v>
      </c>
      <c r="H396" t="str">
        <f>_xlfn.CONCAT("https://tablet.otzar.org/",CHAR(35),"/book/155376/p/-1/t/1/fs/0/start/0/end/0/c")</f>
        <v>https://tablet.otzar.org/#/book/155376/p/-1/t/1/fs/0/start/0/end/0/c</v>
      </c>
    </row>
    <row r="397" spans="1:8" x14ac:dyDescent="0.25">
      <c r="A397">
        <v>156996</v>
      </c>
      <c r="B397" t="s">
        <v>846</v>
      </c>
      <c r="C397" t="s">
        <v>847</v>
      </c>
      <c r="D397" t="s">
        <v>10</v>
      </c>
      <c r="E397" t="s">
        <v>25</v>
      </c>
      <c r="F397" t="s">
        <v>218</v>
      </c>
      <c r="G397" t="str">
        <f>HYPERLINK(_xlfn.CONCAT("https://tablet.otzar.org/",CHAR(35),"/book/156996/p/-1/t/1/fs/0/start/0/end/0/c"),"משברי ים")</f>
        <v>משברי ים</v>
      </c>
      <c r="H397" t="str">
        <f>_xlfn.CONCAT("https://tablet.otzar.org/",CHAR(35),"/book/156996/p/-1/t/1/fs/0/start/0/end/0/c")</f>
        <v>https://tablet.otzar.org/#/book/156996/p/-1/t/1/fs/0/start/0/end/0/c</v>
      </c>
    </row>
    <row r="398" spans="1:8" x14ac:dyDescent="0.25">
      <c r="A398">
        <v>681339</v>
      </c>
      <c r="B398" t="s">
        <v>848</v>
      </c>
      <c r="C398" t="s">
        <v>849</v>
      </c>
      <c r="D398" t="s">
        <v>10</v>
      </c>
      <c r="E398" t="s">
        <v>850</v>
      </c>
      <c r="F398" t="s">
        <v>262</v>
      </c>
      <c r="G398" t="str">
        <f>HYPERLINK(_xlfn.CONCAT("https://tablet.otzar.org/",CHAR(35),"/exKotar/681339"),"משיב נפש - 2 כרכים")</f>
        <v>משיב נפש - 2 כרכים</v>
      </c>
      <c r="H398" t="str">
        <f>_xlfn.CONCAT("https://tablet.otzar.org/",CHAR(35),"/exKotar/681339")</f>
        <v>https://tablet.otzar.org/#/exKotar/681339</v>
      </c>
    </row>
    <row r="399" spans="1:8" x14ac:dyDescent="0.25">
      <c r="A399">
        <v>677789</v>
      </c>
      <c r="B399" t="s">
        <v>851</v>
      </c>
      <c r="C399" t="s">
        <v>852</v>
      </c>
      <c r="D399" t="s">
        <v>10</v>
      </c>
      <c r="E399" t="s">
        <v>338</v>
      </c>
      <c r="F399" t="s">
        <v>19</v>
      </c>
      <c r="G399" t="str">
        <f>HYPERLINK(_xlfn.CONCAT("https://tablet.otzar.org/",CHAR(35),"/book/677789/p/-1/t/1/fs/0/start/0/end/0/c"),"משיב נפש על מגילת רות")</f>
        <v>משיב נפש על מגילת רות</v>
      </c>
      <c r="H399" t="str">
        <f>_xlfn.CONCAT("https://tablet.otzar.org/",CHAR(35),"/book/677789/p/-1/t/1/fs/0/start/0/end/0/c")</f>
        <v>https://tablet.otzar.org/#/book/677789/p/-1/t/1/fs/0/start/0/end/0/c</v>
      </c>
    </row>
    <row r="400" spans="1:8" x14ac:dyDescent="0.25">
      <c r="A400">
        <v>155166</v>
      </c>
      <c r="B400" t="s">
        <v>853</v>
      </c>
      <c r="C400" t="s">
        <v>854</v>
      </c>
      <c r="D400" t="s">
        <v>10</v>
      </c>
      <c r="E400" t="s">
        <v>359</v>
      </c>
      <c r="F400" t="s">
        <v>85</v>
      </c>
      <c r="G400" t="str">
        <f>HYPERLINK(_xlfn.CONCAT("https://tablet.otzar.org/",CHAR(35),"/book/155166/p/-1/t/1/fs/0/start/0/end/0/c"),"משכן שילה")</f>
        <v>משכן שילה</v>
      </c>
      <c r="H400" t="str">
        <f>_xlfn.CONCAT("https://tablet.otzar.org/",CHAR(35),"/book/155166/p/-1/t/1/fs/0/start/0/end/0/c")</f>
        <v>https://tablet.otzar.org/#/book/155166/p/-1/t/1/fs/0/start/0/end/0/c</v>
      </c>
    </row>
    <row r="401" spans="1:8" x14ac:dyDescent="0.25">
      <c r="A401">
        <v>647296</v>
      </c>
      <c r="B401" t="s">
        <v>855</v>
      </c>
      <c r="C401" t="s">
        <v>856</v>
      </c>
      <c r="D401" t="s">
        <v>10</v>
      </c>
      <c r="E401" t="s">
        <v>49</v>
      </c>
      <c r="F401" t="s">
        <v>76</v>
      </c>
      <c r="G401" t="str">
        <f>HYPERLINK(_xlfn.CONCAT("https://tablet.otzar.org/",CHAR(35),"/book/647296/p/-1/t/1/fs/0/start/0/end/0/c"),"משלי הקדמונים על פרשיות התורה")</f>
        <v>משלי הקדמונים על פרשיות התורה</v>
      </c>
      <c r="H401" t="str">
        <f>_xlfn.CONCAT("https://tablet.otzar.org/",CHAR(35),"/book/647296/p/-1/t/1/fs/0/start/0/end/0/c")</f>
        <v>https://tablet.otzar.org/#/book/647296/p/-1/t/1/fs/0/start/0/end/0/c</v>
      </c>
    </row>
    <row r="402" spans="1:8" x14ac:dyDescent="0.25">
      <c r="A402">
        <v>688798</v>
      </c>
      <c r="B402" t="s">
        <v>857</v>
      </c>
      <c r="C402" t="s">
        <v>222</v>
      </c>
      <c r="D402" t="s">
        <v>10</v>
      </c>
      <c r="E402" t="s">
        <v>62</v>
      </c>
      <c r="G402" t="str">
        <f>HYPERLINK(_xlfn.CONCAT("https://tablet.otzar.org/",CHAR(35),"/book/688798/p/-1/t/1/fs/0/start/0/end/0/c"),"משלי עם פירוש הרב המאירי")</f>
        <v>משלי עם פירוש הרב המאירי</v>
      </c>
      <c r="H402" t="str">
        <f>_xlfn.CONCAT("https://tablet.otzar.org/",CHAR(35),"/book/688798/p/-1/t/1/fs/0/start/0/end/0/c")</f>
        <v>https://tablet.otzar.org/#/book/688798/p/-1/t/1/fs/0/start/0/end/0/c</v>
      </c>
    </row>
    <row r="403" spans="1:8" x14ac:dyDescent="0.25">
      <c r="A403">
        <v>194442</v>
      </c>
      <c r="B403" t="s">
        <v>858</v>
      </c>
      <c r="C403" t="s">
        <v>859</v>
      </c>
      <c r="D403" t="s">
        <v>10</v>
      </c>
      <c r="E403" t="s">
        <v>65</v>
      </c>
      <c r="F403" t="s">
        <v>19</v>
      </c>
      <c r="G403" t="str">
        <f>HYPERLINK(_xlfn.CONCAT("https://tablet.otzar.org/",CHAR(35),"/book/194442/p/-1/t/1/fs/0/start/0/end/0/c"),"משלי עם פירוש רבינו יונה")</f>
        <v>משלי עם פירוש רבינו יונה</v>
      </c>
      <c r="H403" t="str">
        <f>_xlfn.CONCAT("https://tablet.otzar.org/",CHAR(35),"/book/194442/p/-1/t/1/fs/0/start/0/end/0/c")</f>
        <v>https://tablet.otzar.org/#/book/194442/p/-1/t/1/fs/0/start/0/end/0/c</v>
      </c>
    </row>
    <row r="404" spans="1:8" x14ac:dyDescent="0.25">
      <c r="A404">
        <v>155219</v>
      </c>
      <c r="B404" t="s">
        <v>860</v>
      </c>
      <c r="C404" t="s">
        <v>441</v>
      </c>
      <c r="D404" t="s">
        <v>10</v>
      </c>
      <c r="E404" t="s">
        <v>314</v>
      </c>
      <c r="F404" t="s">
        <v>809</v>
      </c>
      <c r="G404" t="str">
        <f>HYPERLINK(_xlfn.CONCAT("https://tablet.otzar.org/",CHAR(35),"/exKotar/155219"),"משנה עם פירוש הרמב""""ם &lt;ר""""י קאפח&gt;  - 6 כרכים")</f>
        <v>משנה עם פירוש הרמב""ם &lt;ר""י קאפח&gt;  - 6 כרכים</v>
      </c>
      <c r="H404" t="str">
        <f>_xlfn.CONCAT("https://tablet.otzar.org/",CHAR(35),"/exKotar/155219")</f>
        <v>https://tablet.otzar.org/#/exKotar/155219</v>
      </c>
    </row>
    <row r="405" spans="1:8" x14ac:dyDescent="0.25">
      <c r="A405">
        <v>164123</v>
      </c>
      <c r="B405" t="s">
        <v>861</v>
      </c>
      <c r="C405" t="s">
        <v>441</v>
      </c>
      <c r="D405" t="s">
        <v>10</v>
      </c>
      <c r="E405" t="s">
        <v>52</v>
      </c>
      <c r="F405" t="s">
        <v>809</v>
      </c>
      <c r="G405" t="str">
        <f>HYPERLINK(_xlfn.CONCAT("https://tablet.otzar.org/",CHAR(35),"/exKotar/164123"),"משנה עם פירוש הרמב""""ם &lt;עם המקור בערבית&gt;  - 7 כרכים")</f>
        <v>משנה עם פירוש הרמב""ם &lt;עם המקור בערבית&gt;  - 7 כרכים</v>
      </c>
      <c r="H405" t="str">
        <f>_xlfn.CONCAT("https://tablet.otzar.org/",CHAR(35),"/exKotar/164123")</f>
        <v>https://tablet.otzar.org/#/exKotar/164123</v>
      </c>
    </row>
    <row r="406" spans="1:8" x14ac:dyDescent="0.25">
      <c r="A406">
        <v>157644</v>
      </c>
      <c r="B406" t="s">
        <v>862</v>
      </c>
      <c r="C406" t="s">
        <v>441</v>
      </c>
      <c r="D406" t="s">
        <v>10</v>
      </c>
      <c r="E406" t="s">
        <v>143</v>
      </c>
      <c r="F406" t="s">
        <v>85</v>
      </c>
      <c r="G406" t="str">
        <f>HYPERLINK(_xlfn.CONCAT("https://tablet.otzar.org/",CHAR(35),"/book/157644/p/-1/t/1/fs/0/start/0/end/0/c"),"משנה תורה &lt;צילום דפוס רומי ר""""מ&gt;")</f>
        <v>משנה תורה &lt;צילום דפוס רומי ר""מ&gt;</v>
      </c>
      <c r="H406" t="str">
        <f>_xlfn.CONCAT("https://tablet.otzar.org/",CHAR(35),"/book/157644/p/-1/t/1/fs/0/start/0/end/0/c")</f>
        <v>https://tablet.otzar.org/#/book/157644/p/-1/t/1/fs/0/start/0/end/0/c</v>
      </c>
    </row>
    <row r="407" spans="1:8" x14ac:dyDescent="0.25">
      <c r="A407">
        <v>155485</v>
      </c>
      <c r="B407" t="s">
        <v>863</v>
      </c>
      <c r="C407" t="s">
        <v>441</v>
      </c>
      <c r="D407" t="s">
        <v>10</v>
      </c>
      <c r="E407" t="s">
        <v>416</v>
      </c>
      <c r="F407" t="s">
        <v>85</v>
      </c>
      <c r="G407" t="str">
        <f>HYPERLINK(_xlfn.CONCAT("https://tablet.otzar.org/",CHAR(35),"/exKotar/155485"),"משנה תורה &lt;רמב""""ם לעם&gt;  - 20 כרכים")</f>
        <v>משנה תורה &lt;רמב""ם לעם&gt;  - 20 כרכים</v>
      </c>
      <c r="H407" t="str">
        <f>_xlfn.CONCAT("https://tablet.otzar.org/",CHAR(35),"/exKotar/155485")</f>
        <v>https://tablet.otzar.org/#/exKotar/155485</v>
      </c>
    </row>
    <row r="408" spans="1:8" x14ac:dyDescent="0.25">
      <c r="A408">
        <v>200243</v>
      </c>
      <c r="B408" t="s">
        <v>864</v>
      </c>
      <c r="C408" t="s">
        <v>865</v>
      </c>
      <c r="D408" t="s">
        <v>10</v>
      </c>
      <c r="E408" t="s">
        <v>244</v>
      </c>
      <c r="F408" t="s">
        <v>59</v>
      </c>
      <c r="G408" t="str">
        <f>HYPERLINK(_xlfn.CONCAT("https://tablet.otzar.org/",CHAR(35),"/book/200243/p/-1/t/1/fs/0/start/0/end/0/c"),"משנת אליעזר")</f>
        <v>משנת אליעזר</v>
      </c>
      <c r="H408" t="str">
        <f>_xlfn.CONCAT("https://tablet.otzar.org/",CHAR(35),"/book/200243/p/-1/t/1/fs/0/start/0/end/0/c")</f>
        <v>https://tablet.otzar.org/#/book/200243/p/-1/t/1/fs/0/start/0/end/0/c</v>
      </c>
    </row>
    <row r="409" spans="1:8" x14ac:dyDescent="0.25">
      <c r="A409">
        <v>157378</v>
      </c>
      <c r="B409" t="s">
        <v>866</v>
      </c>
      <c r="C409" t="s">
        <v>867</v>
      </c>
      <c r="D409" t="s">
        <v>10</v>
      </c>
      <c r="E409" t="s">
        <v>80</v>
      </c>
      <c r="F409" t="s">
        <v>868</v>
      </c>
      <c r="G409" t="str">
        <f>HYPERLINK(_xlfn.CONCAT("https://tablet.otzar.org/",CHAR(35),"/book/157378/p/-1/t/1/fs/0/start/0/end/0/c"),"משנת הלוי")</f>
        <v>משנת הלוי</v>
      </c>
      <c r="H409" t="str">
        <f>_xlfn.CONCAT("https://tablet.otzar.org/",CHAR(35),"/book/157378/p/-1/t/1/fs/0/start/0/end/0/c")</f>
        <v>https://tablet.otzar.org/#/book/157378/p/-1/t/1/fs/0/start/0/end/0/c</v>
      </c>
    </row>
    <row r="410" spans="1:8" x14ac:dyDescent="0.25">
      <c r="A410">
        <v>157360</v>
      </c>
      <c r="B410" t="s">
        <v>869</v>
      </c>
      <c r="C410" t="s">
        <v>870</v>
      </c>
      <c r="D410" t="s">
        <v>10</v>
      </c>
      <c r="E410" t="s">
        <v>308</v>
      </c>
      <c r="F410" t="s">
        <v>251</v>
      </c>
      <c r="G410" t="str">
        <f>HYPERLINK(_xlfn.CONCAT("https://tablet.otzar.org/",CHAR(35),"/book/157360/p/-1/t/1/fs/0/start/0/end/0/c"),"משנת השר")</f>
        <v>משנת השר</v>
      </c>
      <c r="H410" t="str">
        <f>_xlfn.CONCAT("https://tablet.otzar.org/",CHAR(35),"/book/157360/p/-1/t/1/fs/0/start/0/end/0/c")</f>
        <v>https://tablet.otzar.org/#/book/157360/p/-1/t/1/fs/0/start/0/end/0/c</v>
      </c>
    </row>
    <row r="411" spans="1:8" x14ac:dyDescent="0.25">
      <c r="A411">
        <v>157359</v>
      </c>
      <c r="B411" t="s">
        <v>871</v>
      </c>
      <c r="C411" t="s">
        <v>872</v>
      </c>
      <c r="D411" t="s">
        <v>10</v>
      </c>
      <c r="E411" t="s">
        <v>427</v>
      </c>
      <c r="F411" t="s">
        <v>69</v>
      </c>
      <c r="G411" t="str">
        <f>HYPERLINK(_xlfn.CONCAT("https://tablet.otzar.org/",CHAR(35),"/book/157359/p/-1/t/1/fs/0/start/0/end/0/c"),"משנת יעקב - בעי חיי, ברכת יעקב, נר ערוך")</f>
        <v>משנת יעקב - בעי חיי, ברכת יעקב, נר ערוך</v>
      </c>
      <c r="H411" t="str">
        <f>_xlfn.CONCAT("https://tablet.otzar.org/",CHAR(35),"/book/157359/p/-1/t/1/fs/0/start/0/end/0/c")</f>
        <v>https://tablet.otzar.org/#/book/157359/p/-1/t/1/fs/0/start/0/end/0/c</v>
      </c>
    </row>
    <row r="412" spans="1:8" x14ac:dyDescent="0.25">
      <c r="A412">
        <v>155106</v>
      </c>
      <c r="B412" t="s">
        <v>873</v>
      </c>
      <c r="C412" t="s">
        <v>874</v>
      </c>
      <c r="D412" t="s">
        <v>10</v>
      </c>
      <c r="E412" t="s">
        <v>447</v>
      </c>
      <c r="F412" t="s">
        <v>809</v>
      </c>
      <c r="G412" t="str">
        <f>HYPERLINK(_xlfn.CONCAT("https://tablet.otzar.org/",CHAR(35),"/exKotar/155106"),"משנת ראובן &lt;פירושי הראשונים על  מסכת אבות&gt;  - 2 כרכים")</f>
        <v>משנת ראובן &lt;פירושי הראשונים על  מסכת אבות&gt;  - 2 כרכים</v>
      </c>
      <c r="H412" t="str">
        <f>_xlfn.CONCAT("https://tablet.otzar.org/",CHAR(35),"/exKotar/155106")</f>
        <v>https://tablet.otzar.org/#/exKotar/155106</v>
      </c>
    </row>
    <row r="413" spans="1:8" x14ac:dyDescent="0.25">
      <c r="A413">
        <v>677739</v>
      </c>
      <c r="B413" t="s">
        <v>875</v>
      </c>
      <c r="C413" t="s">
        <v>876</v>
      </c>
      <c r="D413" t="s">
        <v>10</v>
      </c>
      <c r="E413" t="s">
        <v>338</v>
      </c>
      <c r="F413" t="s">
        <v>19</v>
      </c>
      <c r="G413" t="str">
        <f>HYPERLINK(_xlfn.CONCAT("https://tablet.otzar.org/",CHAR(35),"/book/677739/p/-1/t/1/fs/0/start/0/end/0/c"),"משעולי הפרשה")</f>
        <v>משעולי הפרשה</v>
      </c>
      <c r="H413" t="str">
        <f>_xlfn.CONCAT("https://tablet.otzar.org/",CHAR(35),"/book/677739/p/-1/t/1/fs/0/start/0/end/0/c")</f>
        <v>https://tablet.otzar.org/#/book/677739/p/-1/t/1/fs/0/start/0/end/0/c</v>
      </c>
    </row>
    <row r="414" spans="1:8" x14ac:dyDescent="0.25">
      <c r="A414">
        <v>154972</v>
      </c>
      <c r="B414" t="s">
        <v>877</v>
      </c>
      <c r="C414" t="s">
        <v>21</v>
      </c>
      <c r="D414" t="s">
        <v>10</v>
      </c>
      <c r="E414" t="s">
        <v>80</v>
      </c>
      <c r="F414" t="s">
        <v>59</v>
      </c>
      <c r="G414" t="str">
        <f>HYPERLINK(_xlfn.CONCAT("https://tablet.otzar.org/",CHAR(35),"/book/154972/p/-1/t/1/fs/0/start/0/end/0/c"),"משפט כהן")</f>
        <v>משפט כהן</v>
      </c>
      <c r="H414" t="str">
        <f>_xlfn.CONCAT("https://tablet.otzar.org/",CHAR(35),"/book/154972/p/-1/t/1/fs/0/start/0/end/0/c")</f>
        <v>https://tablet.otzar.org/#/book/154972/p/-1/t/1/fs/0/start/0/end/0/c</v>
      </c>
    </row>
    <row r="415" spans="1:8" x14ac:dyDescent="0.25">
      <c r="A415">
        <v>181020</v>
      </c>
      <c r="B415" t="s">
        <v>878</v>
      </c>
      <c r="C415" t="s">
        <v>465</v>
      </c>
      <c r="D415" t="s">
        <v>10</v>
      </c>
      <c r="E415" t="s">
        <v>394</v>
      </c>
      <c r="F415" t="s">
        <v>23</v>
      </c>
      <c r="G415" t="str">
        <f>HYPERLINK(_xlfn.CONCAT("https://tablet.otzar.org/",CHAR(35),"/book/181020/p/-1/t/1/fs/0/start/0/end/0/c"),"משפט עברי")</f>
        <v>משפט עברי</v>
      </c>
      <c r="H415" t="str">
        <f>_xlfn.CONCAT("https://tablet.otzar.org/",CHAR(35),"/book/181020/p/-1/t/1/fs/0/start/0/end/0/c")</f>
        <v>https://tablet.otzar.org/#/book/181020/p/-1/t/1/fs/0/start/0/end/0/c</v>
      </c>
    </row>
    <row r="416" spans="1:8" x14ac:dyDescent="0.25">
      <c r="A416">
        <v>158447</v>
      </c>
      <c r="B416" t="s">
        <v>879</v>
      </c>
      <c r="C416" t="s">
        <v>880</v>
      </c>
      <c r="D416" t="s">
        <v>10</v>
      </c>
      <c r="E416" t="s">
        <v>130</v>
      </c>
      <c r="F416" t="s">
        <v>59</v>
      </c>
      <c r="G416" t="str">
        <f>HYPERLINK(_xlfn.CONCAT("https://tablet.otzar.org/",CHAR(35),"/book/158447/p/-1/t/1/fs/0/start/0/end/0/c"),"משפטי עזיאל - אה""""ע תנינא")</f>
        <v>משפטי עזיאל - אה""ע תנינא</v>
      </c>
      <c r="H416" t="str">
        <f>_xlfn.CONCAT("https://tablet.otzar.org/",CHAR(35),"/book/158447/p/-1/t/1/fs/0/start/0/end/0/c")</f>
        <v>https://tablet.otzar.org/#/book/158447/p/-1/t/1/fs/0/start/0/end/0/c</v>
      </c>
    </row>
    <row r="417" spans="1:8" x14ac:dyDescent="0.25">
      <c r="A417">
        <v>647297</v>
      </c>
      <c r="B417" t="s">
        <v>881</v>
      </c>
      <c r="C417" t="s">
        <v>882</v>
      </c>
      <c r="D417" t="s">
        <v>10</v>
      </c>
      <c r="E417" t="s">
        <v>49</v>
      </c>
      <c r="F417" t="s">
        <v>883</v>
      </c>
      <c r="G417" t="str">
        <f>HYPERLINK(_xlfn.CONCAT("https://tablet.otzar.org/",CHAR(35),"/book/647297/p/-1/t/1/fs/0/start/0/end/0/c"),"משפטי שאול")</f>
        <v>משפטי שאול</v>
      </c>
      <c r="H417" t="str">
        <f>_xlfn.CONCAT("https://tablet.otzar.org/",CHAR(35),"/book/647297/p/-1/t/1/fs/0/start/0/end/0/c")</f>
        <v>https://tablet.otzar.org/#/book/647297/p/-1/t/1/fs/0/start/0/end/0/c</v>
      </c>
    </row>
    <row r="418" spans="1:8" x14ac:dyDescent="0.25">
      <c r="A418">
        <v>638052</v>
      </c>
      <c r="B418" t="s">
        <v>884</v>
      </c>
      <c r="C418" t="s">
        <v>885</v>
      </c>
      <c r="D418" t="s">
        <v>10</v>
      </c>
      <c r="E418" t="s">
        <v>116</v>
      </c>
      <c r="F418" t="s">
        <v>19</v>
      </c>
      <c r="G418" t="str">
        <f>HYPERLINK(_xlfn.CONCAT("https://tablet.otzar.org/",CHAR(35),"/exKotar/638052"),"נ""""ך לאור ההלכה - 2 כרכים")</f>
        <v>נ""ך לאור ההלכה - 2 כרכים</v>
      </c>
      <c r="H418" t="str">
        <f>_xlfn.CONCAT("https://tablet.otzar.org/",CHAR(35),"/exKotar/638052")</f>
        <v>https://tablet.otzar.org/#/exKotar/638052</v>
      </c>
    </row>
    <row r="419" spans="1:8" x14ac:dyDescent="0.25">
      <c r="A419">
        <v>155584</v>
      </c>
      <c r="B419" t="s">
        <v>886</v>
      </c>
      <c r="C419" t="s">
        <v>565</v>
      </c>
      <c r="D419" t="s">
        <v>10</v>
      </c>
      <c r="E419" t="s">
        <v>622</v>
      </c>
      <c r="F419" t="s">
        <v>19</v>
      </c>
      <c r="G419" t="str">
        <f>HYPERLINK(_xlfn.CONCAT("https://tablet.otzar.org/",CHAR(35),"/book/155584/p/-1/t/1/fs/0/start/0/end/0/c"),"נביאים וכתובים עם פירוש אור החיים הערוך והמבואר")</f>
        <v>נביאים וכתובים עם פירוש אור החיים הערוך והמבואר</v>
      </c>
      <c r="H419" t="str">
        <f>_xlfn.CONCAT("https://tablet.otzar.org/",CHAR(35),"/book/155584/p/-1/t/1/fs/0/start/0/end/0/c")</f>
        <v>https://tablet.otzar.org/#/book/155584/p/-1/t/1/fs/0/start/0/end/0/c</v>
      </c>
    </row>
    <row r="420" spans="1:8" x14ac:dyDescent="0.25">
      <c r="A420">
        <v>158456</v>
      </c>
      <c r="B420" t="s">
        <v>887</v>
      </c>
      <c r="C420" t="s">
        <v>888</v>
      </c>
      <c r="D420" t="s">
        <v>10</v>
      </c>
      <c r="E420" t="s">
        <v>109</v>
      </c>
      <c r="F420" t="s">
        <v>12</v>
      </c>
      <c r="G420" t="str">
        <f>HYPERLINK(_xlfn.CONCAT("https://tablet.otzar.org/",CHAR(35),"/book/158456/p/-1/t/1/fs/0/start/0/end/0/c"),"נוטרי מורשת")</f>
        <v>נוטרי מורשת</v>
      </c>
      <c r="H420" t="str">
        <f>_xlfn.CONCAT("https://tablet.otzar.org/",CHAR(35),"/book/158456/p/-1/t/1/fs/0/start/0/end/0/c")</f>
        <v>https://tablet.otzar.org/#/book/158456/p/-1/t/1/fs/0/start/0/end/0/c</v>
      </c>
    </row>
    <row r="421" spans="1:8" x14ac:dyDescent="0.25">
      <c r="A421">
        <v>156303</v>
      </c>
      <c r="B421" t="s">
        <v>889</v>
      </c>
      <c r="C421" t="s">
        <v>890</v>
      </c>
      <c r="D421" t="s">
        <v>10</v>
      </c>
      <c r="E421" t="s">
        <v>126</v>
      </c>
      <c r="F421" t="s">
        <v>19</v>
      </c>
      <c r="G421" t="str">
        <f>HYPERLINK(_xlfn.CONCAT("https://tablet.otzar.org/",CHAR(35),"/exKotar/156303"),"נועם אלימלך - 2 כרכים")</f>
        <v>נועם אלימלך - 2 כרכים</v>
      </c>
      <c r="H421" t="str">
        <f>_xlfn.CONCAT("https://tablet.otzar.org/",CHAR(35),"/exKotar/156303")</f>
        <v>https://tablet.otzar.org/#/exKotar/156303</v>
      </c>
    </row>
    <row r="422" spans="1:8" x14ac:dyDescent="0.25">
      <c r="A422">
        <v>647298</v>
      </c>
      <c r="B422" t="s">
        <v>891</v>
      </c>
      <c r="C422" t="s">
        <v>892</v>
      </c>
      <c r="D422" t="s">
        <v>10</v>
      </c>
      <c r="E422" t="s">
        <v>49</v>
      </c>
      <c r="F422" t="s">
        <v>218</v>
      </c>
      <c r="G422" t="str">
        <f>HYPERLINK(_xlfn.CONCAT("https://tablet.otzar.org/",CHAR(35),"/book/647298/p/-1/t/1/fs/0/start/0/end/0/c"),"נושאי הש""""ס")</f>
        <v>נושאי הש""ס</v>
      </c>
      <c r="H422" t="str">
        <f>_xlfn.CONCAT("https://tablet.otzar.org/",CHAR(35),"/book/647298/p/-1/t/1/fs/0/start/0/end/0/c")</f>
        <v>https://tablet.otzar.org/#/book/647298/p/-1/t/1/fs/0/start/0/end/0/c</v>
      </c>
    </row>
    <row r="423" spans="1:8" x14ac:dyDescent="0.25">
      <c r="A423">
        <v>601554</v>
      </c>
      <c r="B423" t="s">
        <v>893</v>
      </c>
      <c r="C423" t="s">
        <v>894</v>
      </c>
      <c r="D423" t="s">
        <v>10</v>
      </c>
      <c r="E423" t="s">
        <v>187</v>
      </c>
      <c r="F423" t="s">
        <v>23</v>
      </c>
      <c r="G423" t="str">
        <f>HYPERLINK(_xlfn.CONCAT("https://tablet.otzar.org/",CHAR(35),"/book/601554/p/-1/t/1/fs/0/start/0/end/0/c"),"נחליאל &lt;מהדורה חדשה&gt;")</f>
        <v>נחליאל &lt;מהדורה חדשה&gt;</v>
      </c>
      <c r="H423" t="str">
        <f>_xlfn.CONCAT("https://tablet.otzar.org/",CHAR(35),"/book/601554/p/-1/t/1/fs/0/start/0/end/0/c")</f>
        <v>https://tablet.otzar.org/#/book/601554/p/-1/t/1/fs/0/start/0/end/0/c</v>
      </c>
    </row>
    <row r="424" spans="1:8" x14ac:dyDescent="0.25">
      <c r="A424">
        <v>159752</v>
      </c>
      <c r="B424" t="s">
        <v>895</v>
      </c>
      <c r="C424" t="s">
        <v>894</v>
      </c>
      <c r="D424" t="s">
        <v>10</v>
      </c>
      <c r="E424" t="s">
        <v>579</v>
      </c>
      <c r="F424" t="s">
        <v>23</v>
      </c>
      <c r="G424" t="str">
        <f>HYPERLINK(_xlfn.CONCAT("https://tablet.otzar.org/",CHAR(35),"/book/159752/p/-1/t/1/fs/0/start/0/end/0/c"),"נחליאל")</f>
        <v>נחליאל</v>
      </c>
      <c r="H424" t="str">
        <f>_xlfn.CONCAT("https://tablet.otzar.org/",CHAR(35),"/book/159752/p/-1/t/1/fs/0/start/0/end/0/c")</f>
        <v>https://tablet.otzar.org/#/book/159752/p/-1/t/1/fs/0/start/0/end/0/c</v>
      </c>
    </row>
    <row r="425" spans="1:8" x14ac:dyDescent="0.25">
      <c r="A425">
        <v>14453</v>
      </c>
      <c r="B425" t="s">
        <v>896</v>
      </c>
      <c r="C425" t="s">
        <v>897</v>
      </c>
      <c r="D425" t="s">
        <v>10</v>
      </c>
      <c r="E425" t="s">
        <v>36</v>
      </c>
      <c r="F425" t="s">
        <v>19</v>
      </c>
      <c r="G425" t="str">
        <f>HYPERLINK(_xlfn.CONCAT("https://tablet.otzar.org/",CHAR(35),"/book/14453/p/-1/t/1/fs/0/start/0/end/0/c"),"נימוקי חומש לרבינו ישעיה")</f>
        <v>נימוקי חומש לרבינו ישעיה</v>
      </c>
      <c r="H425" t="str">
        <f>_xlfn.CONCAT("https://tablet.otzar.org/",CHAR(35),"/book/14453/p/-1/t/1/fs/0/start/0/end/0/c")</f>
        <v>https://tablet.otzar.org/#/book/14453/p/-1/t/1/fs/0/start/0/end/0/c</v>
      </c>
    </row>
    <row r="426" spans="1:8" x14ac:dyDescent="0.25">
      <c r="A426">
        <v>155278</v>
      </c>
      <c r="B426" t="s">
        <v>898</v>
      </c>
      <c r="C426" t="s">
        <v>462</v>
      </c>
      <c r="D426" t="s">
        <v>10</v>
      </c>
      <c r="E426" t="s">
        <v>15</v>
      </c>
      <c r="F426" t="s">
        <v>899</v>
      </c>
      <c r="G426" t="str">
        <f>HYPERLINK(_xlfn.CONCAT("https://tablet.otzar.org/",CHAR(35),"/book/155278/p/-1/t/1/fs/0/start/0/end/0/c"),"ניצוצי אור")</f>
        <v>ניצוצי אור</v>
      </c>
      <c r="H426" t="str">
        <f>_xlfn.CONCAT("https://tablet.otzar.org/",CHAR(35),"/book/155278/p/-1/t/1/fs/0/start/0/end/0/c")</f>
        <v>https://tablet.otzar.org/#/book/155278/p/-1/t/1/fs/0/start/0/end/0/c</v>
      </c>
    </row>
    <row r="427" spans="1:8" x14ac:dyDescent="0.25">
      <c r="A427">
        <v>157331</v>
      </c>
      <c r="B427" t="s">
        <v>900</v>
      </c>
      <c r="C427" t="s">
        <v>407</v>
      </c>
      <c r="D427" t="s">
        <v>10</v>
      </c>
      <c r="E427" t="s">
        <v>416</v>
      </c>
      <c r="F427" t="s">
        <v>33</v>
      </c>
      <c r="G427" t="str">
        <f>HYPERLINK(_xlfn.CONCAT("https://tablet.otzar.org/",CHAR(35),"/book/157331/p/-1/t/1/fs/0/start/0/end/0/c"),"נצח האומה")</f>
        <v>נצח האומה</v>
      </c>
      <c r="H427" t="str">
        <f>_xlfn.CONCAT("https://tablet.otzar.org/",CHAR(35),"/book/157331/p/-1/t/1/fs/0/start/0/end/0/c")</f>
        <v>https://tablet.otzar.org/#/book/157331/p/-1/t/1/fs/0/start/0/end/0/c</v>
      </c>
    </row>
    <row r="428" spans="1:8" x14ac:dyDescent="0.25">
      <c r="A428">
        <v>194443</v>
      </c>
      <c r="B428" t="s">
        <v>901</v>
      </c>
      <c r="C428" t="s">
        <v>902</v>
      </c>
      <c r="D428" t="s">
        <v>10</v>
      </c>
      <c r="E428" t="s">
        <v>187</v>
      </c>
      <c r="F428" t="s">
        <v>19</v>
      </c>
      <c r="G428" t="str">
        <f>HYPERLINK(_xlfn.CONCAT("https://tablet.otzar.org/",CHAR(35),"/exKotar/194443"),"נר אהרן - 2 כרכים")</f>
        <v>נר אהרן - 2 כרכים</v>
      </c>
      <c r="H428" t="str">
        <f>_xlfn.CONCAT("https://tablet.otzar.org/",CHAR(35),"/exKotar/194443")</f>
        <v>https://tablet.otzar.org/#/exKotar/194443</v>
      </c>
    </row>
    <row r="429" spans="1:8" x14ac:dyDescent="0.25">
      <c r="A429">
        <v>14747</v>
      </c>
      <c r="B429" t="s">
        <v>903</v>
      </c>
      <c r="C429" t="s">
        <v>462</v>
      </c>
      <c r="D429" t="s">
        <v>10</v>
      </c>
      <c r="E429" t="s">
        <v>471</v>
      </c>
      <c r="F429" t="s">
        <v>76</v>
      </c>
      <c r="G429" t="str">
        <f>HYPERLINK(_xlfn.CONCAT("https://tablet.otzar.org/",CHAR(35),"/book/14747/p/-1/t/1/fs/0/start/0/end/0/c"),"נר למאור")</f>
        <v>נר למאור</v>
      </c>
      <c r="H429" t="str">
        <f>_xlfn.CONCAT("https://tablet.otzar.org/",CHAR(35),"/book/14747/p/-1/t/1/fs/0/start/0/end/0/c")</f>
        <v>https://tablet.otzar.org/#/book/14747/p/-1/t/1/fs/0/start/0/end/0/c</v>
      </c>
    </row>
    <row r="430" spans="1:8" x14ac:dyDescent="0.25">
      <c r="A430">
        <v>156302</v>
      </c>
      <c r="B430" t="s">
        <v>904</v>
      </c>
      <c r="C430" t="s">
        <v>905</v>
      </c>
      <c r="D430" t="s">
        <v>10</v>
      </c>
      <c r="E430" t="s">
        <v>227</v>
      </c>
      <c r="F430" t="s">
        <v>23</v>
      </c>
      <c r="G430" t="str">
        <f>HYPERLINK(_xlfn.CONCAT("https://tablet.otzar.org/",CHAR(35),"/book/156302/p/-1/t/1/fs/0/start/0/end/0/c"),"נתיבות ציון וירושלים")</f>
        <v>נתיבות ציון וירושלים</v>
      </c>
      <c r="H430" t="str">
        <f>_xlfn.CONCAT("https://tablet.otzar.org/",CHAR(35),"/book/156302/p/-1/t/1/fs/0/start/0/end/0/c")</f>
        <v>https://tablet.otzar.org/#/book/156302/p/-1/t/1/fs/0/start/0/end/0/c</v>
      </c>
    </row>
    <row r="431" spans="1:8" x14ac:dyDescent="0.25">
      <c r="A431">
        <v>156200</v>
      </c>
      <c r="B431" t="s">
        <v>906</v>
      </c>
      <c r="C431" t="s">
        <v>907</v>
      </c>
      <c r="D431" t="s">
        <v>10</v>
      </c>
      <c r="E431" t="s">
        <v>58</v>
      </c>
      <c r="F431" t="s">
        <v>12</v>
      </c>
      <c r="G431" t="str">
        <f>HYPERLINK(_xlfn.CONCAT("https://tablet.otzar.org/",CHAR(35),"/book/156200/p/-1/t/1/fs/0/start/0/end/0/c"),"סדר אליהו")</f>
        <v>סדר אליהו</v>
      </c>
      <c r="H431" t="str">
        <f>_xlfn.CONCAT("https://tablet.otzar.org/",CHAR(35),"/book/156200/p/-1/t/1/fs/0/start/0/end/0/c")</f>
        <v>https://tablet.otzar.org/#/book/156200/p/-1/t/1/fs/0/start/0/end/0/c</v>
      </c>
    </row>
    <row r="432" spans="1:8" x14ac:dyDescent="0.25">
      <c r="A432">
        <v>157024</v>
      </c>
      <c r="B432" t="s">
        <v>908</v>
      </c>
      <c r="C432" t="s">
        <v>909</v>
      </c>
      <c r="D432" t="s">
        <v>10</v>
      </c>
      <c r="E432" t="s">
        <v>15</v>
      </c>
      <c r="F432" t="s">
        <v>322</v>
      </c>
      <c r="G432" t="str">
        <f>HYPERLINK(_xlfn.CONCAT("https://tablet.otzar.org/",CHAR(35),"/book/157024/p/-1/t/1/fs/0/start/0/end/0/c"),"סדר הסליחות כמנהג ליטא")</f>
        <v>סדר הסליחות כמנהג ליטא</v>
      </c>
      <c r="H432" t="str">
        <f>_xlfn.CONCAT("https://tablet.otzar.org/",CHAR(35),"/book/157024/p/-1/t/1/fs/0/start/0/end/0/c")</f>
        <v>https://tablet.otzar.org/#/book/157024/p/-1/t/1/fs/0/start/0/end/0/c</v>
      </c>
    </row>
    <row r="433" spans="1:8" x14ac:dyDescent="0.25">
      <c r="A433">
        <v>14143</v>
      </c>
      <c r="B433" t="s">
        <v>910</v>
      </c>
      <c r="C433" t="s">
        <v>909</v>
      </c>
      <c r="D433" t="s">
        <v>10</v>
      </c>
      <c r="E433" t="s">
        <v>15</v>
      </c>
      <c r="F433" t="s">
        <v>322</v>
      </c>
      <c r="G433" t="str">
        <f>HYPERLINK(_xlfn.CONCAT("https://tablet.otzar.org/",CHAR(35),"/book/14143/p/-1/t/1/fs/0/start/0/end/0/c"),"סדר הסליחות כמנהג פולין")</f>
        <v>סדר הסליחות כמנהג פולין</v>
      </c>
      <c r="H433" t="str">
        <f>_xlfn.CONCAT("https://tablet.otzar.org/",CHAR(35),"/book/14143/p/-1/t/1/fs/0/start/0/end/0/c")</f>
        <v>https://tablet.otzar.org/#/book/14143/p/-1/t/1/fs/0/start/0/end/0/c</v>
      </c>
    </row>
    <row r="434" spans="1:8" x14ac:dyDescent="0.25">
      <c r="A434">
        <v>155209</v>
      </c>
      <c r="B434" t="s">
        <v>911</v>
      </c>
      <c r="C434" t="s">
        <v>912</v>
      </c>
      <c r="D434" t="s">
        <v>10</v>
      </c>
      <c r="E434" t="s">
        <v>36</v>
      </c>
      <c r="F434" t="s">
        <v>483</v>
      </c>
      <c r="G434" t="str">
        <f>HYPERLINK(_xlfn.CONCAT("https://tablet.otzar.org/",CHAR(35),"/book/155209/p/-1/t/1/fs/0/start/0/end/0/c"),"סדר הקינות לתשעה באב &lt;מבואר&gt;")</f>
        <v>סדר הקינות לתשעה באב &lt;מבואר&gt;</v>
      </c>
      <c r="H434" t="str">
        <f>_xlfn.CONCAT("https://tablet.otzar.org/",CHAR(35),"/book/155209/p/-1/t/1/fs/0/start/0/end/0/c")</f>
        <v>https://tablet.otzar.org/#/book/155209/p/-1/t/1/fs/0/start/0/end/0/c</v>
      </c>
    </row>
    <row r="435" spans="1:8" x14ac:dyDescent="0.25">
      <c r="A435">
        <v>156228</v>
      </c>
      <c r="B435" t="s">
        <v>913</v>
      </c>
      <c r="C435" t="s">
        <v>914</v>
      </c>
      <c r="D435" t="s">
        <v>10</v>
      </c>
      <c r="E435" t="s">
        <v>421</v>
      </c>
      <c r="F435" t="s">
        <v>23</v>
      </c>
      <c r="G435" t="str">
        <f>HYPERLINK(_xlfn.CONCAT("https://tablet.otzar.org/",CHAR(35),"/book/156228/p/-1/t/1/fs/0/start/0/end/0/c"),"סדר קידושין ונישואין אחרי חתימת התלמוד")</f>
        <v>סדר קידושין ונישואין אחרי חתימת התלמוד</v>
      </c>
      <c r="H435" t="str">
        <f>_xlfn.CONCAT("https://tablet.otzar.org/",CHAR(35),"/book/156228/p/-1/t/1/fs/0/start/0/end/0/c")</f>
        <v>https://tablet.otzar.org/#/book/156228/p/-1/t/1/fs/0/start/0/end/0/c</v>
      </c>
    </row>
    <row r="436" spans="1:8" x14ac:dyDescent="0.25">
      <c r="A436">
        <v>155558</v>
      </c>
      <c r="B436" t="s">
        <v>915</v>
      </c>
      <c r="C436" t="s">
        <v>916</v>
      </c>
      <c r="D436" t="s">
        <v>10</v>
      </c>
      <c r="E436" t="s">
        <v>447</v>
      </c>
      <c r="F436" t="s">
        <v>917</v>
      </c>
      <c r="G436" t="str">
        <f>HYPERLINK(_xlfn.CONCAT("https://tablet.otzar.org/",CHAR(35),"/book/155558/p/-1/t/1/fs/0/start/0/end/0/c"),"סדר רב עמרם גאון &lt;מוה""""ק&gt;")</f>
        <v>סדר רב עמרם גאון &lt;מוה""ק&gt;</v>
      </c>
      <c r="H436" t="str">
        <f>_xlfn.CONCAT("https://tablet.otzar.org/",CHAR(35),"/book/155558/p/-1/t/1/fs/0/start/0/end/0/c")</f>
        <v>https://tablet.otzar.org/#/book/155558/p/-1/t/1/fs/0/start/0/end/0/c</v>
      </c>
    </row>
    <row r="437" spans="1:8" x14ac:dyDescent="0.25">
      <c r="A437">
        <v>601655</v>
      </c>
      <c r="B437" t="s">
        <v>918</v>
      </c>
      <c r="C437" t="s">
        <v>919</v>
      </c>
      <c r="D437" t="s">
        <v>10</v>
      </c>
      <c r="E437" t="s">
        <v>65</v>
      </c>
      <c r="F437" t="s">
        <v>322</v>
      </c>
      <c r="G437" t="str">
        <f>HYPERLINK(_xlfn.CONCAT("https://tablet.otzar.org/",CHAR(35),"/book/601655/p/-1/t/1/fs/0/start/0/end/0/c"),"סדר תפלה &lt;עולת ראיה&gt; - ב (לשבתות ומועדים)")</f>
        <v>סדר תפלה &lt;עולת ראיה&gt; - ב (לשבתות ומועדים)</v>
      </c>
      <c r="H437" t="str">
        <f>_xlfn.CONCAT("https://tablet.otzar.org/",CHAR(35),"/book/601655/p/-1/t/1/fs/0/start/0/end/0/c")</f>
        <v>https://tablet.otzar.org/#/book/601655/p/-1/t/1/fs/0/start/0/end/0/c</v>
      </c>
    </row>
    <row r="438" spans="1:8" x14ac:dyDescent="0.25">
      <c r="A438">
        <v>159067</v>
      </c>
      <c r="B438" t="s">
        <v>920</v>
      </c>
      <c r="C438" t="s">
        <v>921</v>
      </c>
      <c r="D438" t="s">
        <v>10</v>
      </c>
      <c r="E438" t="s">
        <v>84</v>
      </c>
      <c r="F438" t="s">
        <v>85</v>
      </c>
      <c r="G438" t="str">
        <f>HYPERLINK(_xlfn.CONCAT("https://tablet.otzar.org/",CHAR(35),"/book/159067/p/-1/t/1/fs/0/start/0/end/0/c"),"סוגיות בהלכות צבא ומשטרה")</f>
        <v>סוגיות בהלכות צבא ומשטרה</v>
      </c>
      <c r="H438" t="str">
        <f>_xlfn.CONCAT("https://tablet.otzar.org/",CHAR(35),"/book/159067/p/-1/t/1/fs/0/start/0/end/0/c")</f>
        <v>https://tablet.otzar.org/#/book/159067/p/-1/t/1/fs/0/start/0/end/0/c</v>
      </c>
    </row>
    <row r="439" spans="1:8" x14ac:dyDescent="0.25">
      <c r="A439">
        <v>638051</v>
      </c>
      <c r="B439" t="s">
        <v>922</v>
      </c>
      <c r="C439" t="s">
        <v>61</v>
      </c>
      <c r="D439" t="s">
        <v>10</v>
      </c>
      <c r="E439" t="s">
        <v>116</v>
      </c>
      <c r="G439" t="str">
        <f>HYPERLINK(_xlfn.CONCAT("https://tablet.otzar.org/",CHAR(35),"/book/638051/p/-1/t/1/fs/0/start/0/end/0/c"),"סידור הגר""""א &lt;מוסד הרב קוק&gt;")</f>
        <v>סידור הגר""א &lt;מוסד הרב קוק&gt;</v>
      </c>
      <c r="H439" t="str">
        <f>_xlfn.CONCAT("https://tablet.otzar.org/",CHAR(35),"/book/638051/p/-1/t/1/fs/0/start/0/end/0/c")</f>
        <v>https://tablet.otzar.org/#/book/638051/p/-1/t/1/fs/0/start/0/end/0/c</v>
      </c>
    </row>
    <row r="440" spans="1:8" x14ac:dyDescent="0.25">
      <c r="A440">
        <v>601567</v>
      </c>
      <c r="B440" t="s">
        <v>923</v>
      </c>
      <c r="C440" t="s">
        <v>924</v>
      </c>
      <c r="D440" t="s">
        <v>10</v>
      </c>
      <c r="E440" t="s">
        <v>187</v>
      </c>
      <c r="F440" t="s">
        <v>322</v>
      </c>
      <c r="G440" t="str">
        <f>HYPERLINK(_xlfn.CONCAT("https://tablet.otzar.org/",CHAR(35),"/book/601567/p/-1/t/1/fs/0/start/0/end/0/c"),"סידור תפילה צלותא דאברהם")</f>
        <v>סידור תפילה צלותא דאברהם</v>
      </c>
      <c r="H440" t="str">
        <f>_xlfn.CONCAT("https://tablet.otzar.org/",CHAR(35),"/book/601567/p/-1/t/1/fs/0/start/0/end/0/c")</f>
        <v>https://tablet.otzar.org/#/book/601567/p/-1/t/1/fs/0/start/0/end/0/c</v>
      </c>
    </row>
    <row r="441" spans="1:8" x14ac:dyDescent="0.25">
      <c r="A441">
        <v>155194</v>
      </c>
      <c r="B441" t="s">
        <v>925</v>
      </c>
      <c r="C441" t="s">
        <v>31</v>
      </c>
      <c r="D441" t="s">
        <v>10</v>
      </c>
      <c r="E441" t="s">
        <v>926</v>
      </c>
      <c r="F441" t="s">
        <v>322</v>
      </c>
      <c r="G441" t="str">
        <f>HYPERLINK(_xlfn.CONCAT("https://tablet.otzar.org/",CHAR(35),"/book/155194/p/-1/t/1/fs/0/start/0/end/0/c"),"סידור תפילות ישראל עם פירוש הרש""""ר הירש")</f>
        <v>סידור תפילות ישראל עם פירוש הרש""ר הירש</v>
      </c>
      <c r="H441" t="str">
        <f>_xlfn.CONCAT("https://tablet.otzar.org/",CHAR(35),"/book/155194/p/-1/t/1/fs/0/start/0/end/0/c")</f>
        <v>https://tablet.otzar.org/#/book/155194/p/-1/t/1/fs/0/start/0/end/0/c</v>
      </c>
    </row>
    <row r="442" spans="1:8" x14ac:dyDescent="0.25">
      <c r="A442">
        <v>181028</v>
      </c>
      <c r="B442" t="s">
        <v>927</v>
      </c>
      <c r="C442" t="s">
        <v>61</v>
      </c>
      <c r="D442" t="s">
        <v>10</v>
      </c>
      <c r="E442" t="s">
        <v>394</v>
      </c>
      <c r="F442" t="s">
        <v>322</v>
      </c>
      <c r="G442" t="str">
        <f>HYPERLINK(_xlfn.CONCAT("https://tablet.otzar.org/",CHAR(35),"/book/181028/p/-1/t/1/fs/0/start/0/end/0/c"),"סידור תפילת אליהו")</f>
        <v>סידור תפילת אליהו</v>
      </c>
      <c r="H442" t="str">
        <f>_xlfn.CONCAT("https://tablet.otzar.org/",CHAR(35),"/book/181028/p/-1/t/1/fs/0/start/0/end/0/c")</f>
        <v>https://tablet.otzar.org/#/book/181028/p/-1/t/1/fs/0/start/0/end/0/c</v>
      </c>
    </row>
    <row r="443" spans="1:8" x14ac:dyDescent="0.25">
      <c r="A443">
        <v>155519</v>
      </c>
      <c r="B443" t="s">
        <v>928</v>
      </c>
      <c r="C443" t="s">
        <v>929</v>
      </c>
      <c r="D443" t="s">
        <v>10</v>
      </c>
      <c r="E443" t="s">
        <v>447</v>
      </c>
      <c r="F443" t="s">
        <v>397</v>
      </c>
      <c r="G443" t="str">
        <f>HYPERLINK(_xlfn.CONCAT("https://tablet.otzar.org/",CHAR(35),"/book/155519/p/-1/t/1/fs/0/start/0/end/0/c"),"סיני | קלה-קלו (קובץ הרמב""""ם)")</f>
        <v>סיני | קלה-קלו (קובץ הרמב""ם)</v>
      </c>
      <c r="H443" t="str">
        <f>_xlfn.CONCAT("https://tablet.otzar.org/",CHAR(35),"/book/155519/p/-1/t/1/fs/0/start/0/end/0/c")</f>
        <v>https://tablet.otzar.org/#/book/155519/p/-1/t/1/fs/0/start/0/end/0/c</v>
      </c>
    </row>
    <row r="444" spans="1:8" x14ac:dyDescent="0.25">
      <c r="A444">
        <v>647299</v>
      </c>
      <c r="B444" t="s">
        <v>930</v>
      </c>
      <c r="C444" t="s">
        <v>350</v>
      </c>
      <c r="D444" t="s">
        <v>10</v>
      </c>
      <c r="E444" t="s">
        <v>49</v>
      </c>
      <c r="F444" t="s">
        <v>931</v>
      </c>
      <c r="G444" t="str">
        <f>HYPERLINK(_xlfn.CONCAT("https://tablet.otzar.org/",CHAR(35),"/book/647299/p/-1/t/1/fs/0/start/0/end/0/c"),"סיפורי חסידים בדרשות לפרשת השבוע")</f>
        <v>סיפורי חסידים בדרשות לפרשת השבוע</v>
      </c>
      <c r="H444" t="str">
        <f>_xlfn.CONCAT("https://tablet.otzar.org/",CHAR(35),"/book/647299/p/-1/t/1/fs/0/start/0/end/0/c")</f>
        <v>https://tablet.otzar.org/#/book/647299/p/-1/t/1/fs/0/start/0/end/0/c</v>
      </c>
    </row>
    <row r="445" spans="1:8" x14ac:dyDescent="0.25">
      <c r="A445">
        <v>155185</v>
      </c>
      <c r="B445" t="s">
        <v>932</v>
      </c>
      <c r="C445" t="s">
        <v>933</v>
      </c>
      <c r="D445" t="s">
        <v>10</v>
      </c>
      <c r="E445" t="s">
        <v>227</v>
      </c>
      <c r="F445" t="s">
        <v>934</v>
      </c>
      <c r="G445" t="str">
        <f>HYPERLINK(_xlfn.CONCAT("https://tablet.otzar.org/",CHAR(35),"/book/155185/p/-1/t/1/fs/0/start/0/end/0/c"),"סיפורי מעשיות משנים קדמוניות")</f>
        <v>סיפורי מעשיות משנים קדמוניות</v>
      </c>
      <c r="H445" t="str">
        <f>_xlfn.CONCAT("https://tablet.otzar.org/",CHAR(35),"/book/155185/p/-1/t/1/fs/0/start/0/end/0/c")</f>
        <v>https://tablet.otzar.org/#/book/155185/p/-1/t/1/fs/0/start/0/end/0/c</v>
      </c>
    </row>
    <row r="446" spans="1:8" x14ac:dyDescent="0.25">
      <c r="A446">
        <v>155537</v>
      </c>
      <c r="B446" t="s">
        <v>935</v>
      </c>
      <c r="C446" t="s">
        <v>936</v>
      </c>
      <c r="D446" t="s">
        <v>10</v>
      </c>
      <c r="F446" t="s">
        <v>322</v>
      </c>
      <c r="G446" t="str">
        <f>HYPERLINK(_xlfn.CONCAT("https://tablet.otzar.org/",CHAR(35),"/book/155537/p/-1/t/1/fs/0/start/0/end/0/c"),"סליחות ופזמונים &lt;רבינו גרשום מאור הגולה&gt;")</f>
        <v>סליחות ופזמונים &lt;רבינו גרשום מאור הגולה&gt;</v>
      </c>
      <c r="H446" t="str">
        <f>_xlfn.CONCAT("https://tablet.otzar.org/",CHAR(35),"/book/155537/p/-1/t/1/fs/0/start/0/end/0/c")</f>
        <v>https://tablet.otzar.org/#/book/155537/p/-1/t/1/fs/0/start/0/end/0/c</v>
      </c>
    </row>
    <row r="447" spans="1:8" x14ac:dyDescent="0.25">
      <c r="A447">
        <v>156241</v>
      </c>
      <c r="B447" t="s">
        <v>937</v>
      </c>
      <c r="C447" t="s">
        <v>938</v>
      </c>
      <c r="D447" t="s">
        <v>10</v>
      </c>
      <c r="E447" t="s">
        <v>140</v>
      </c>
      <c r="F447" t="s">
        <v>12</v>
      </c>
      <c r="G447" t="str">
        <f>HYPERLINK(_xlfn.CONCAT("https://tablet.otzar.org/",CHAR(35),"/book/156241/p/-1/t/1/fs/0/start/0/end/0/c"),"סנהדרין גדולה")</f>
        <v>סנהדרין גדולה</v>
      </c>
      <c r="H447" t="str">
        <f>_xlfn.CONCAT("https://tablet.otzar.org/",CHAR(35),"/book/156241/p/-1/t/1/fs/0/start/0/end/0/c")</f>
        <v>https://tablet.otzar.org/#/book/156241/p/-1/t/1/fs/0/start/0/end/0/c</v>
      </c>
    </row>
    <row r="448" spans="1:8" x14ac:dyDescent="0.25">
      <c r="A448">
        <v>155541</v>
      </c>
      <c r="B448" t="s">
        <v>939</v>
      </c>
      <c r="C448" t="s">
        <v>479</v>
      </c>
      <c r="D448" t="s">
        <v>10</v>
      </c>
      <c r="E448" t="s">
        <v>153</v>
      </c>
      <c r="F448" t="s">
        <v>97</v>
      </c>
      <c r="G448" t="str">
        <f>HYPERLINK(_xlfn.CONCAT("https://tablet.otzar.org/",CHAR(35),"/book/155541/p/-1/t/1/fs/0/start/0/end/0/c"),"ספר אביעד")</f>
        <v>ספר אביעד</v>
      </c>
      <c r="H448" t="str">
        <f>_xlfn.CONCAT("https://tablet.otzar.org/",CHAR(35),"/book/155541/p/-1/t/1/fs/0/start/0/end/0/c")</f>
        <v>https://tablet.otzar.org/#/book/155541/p/-1/t/1/fs/0/start/0/end/0/c</v>
      </c>
    </row>
    <row r="449" spans="1:8" x14ac:dyDescent="0.25">
      <c r="A449">
        <v>155275</v>
      </c>
      <c r="B449" t="s">
        <v>940</v>
      </c>
      <c r="C449" t="s">
        <v>17</v>
      </c>
      <c r="D449" t="s">
        <v>10</v>
      </c>
      <c r="E449" t="s">
        <v>622</v>
      </c>
      <c r="F449" t="s">
        <v>19</v>
      </c>
      <c r="G449" t="str">
        <f>HYPERLINK(_xlfn.CONCAT("https://tablet.otzar.org/",CHAR(35),"/book/155275/p/-1/t/1/fs/0/start/0/end/0/c"),"ספר איוב עם פירושי אבן עזרא")</f>
        <v>ספר איוב עם פירושי אבן עזרא</v>
      </c>
      <c r="H449" t="str">
        <f>_xlfn.CONCAT("https://tablet.otzar.org/",CHAR(35),"/book/155275/p/-1/t/1/fs/0/start/0/end/0/c")</f>
        <v>https://tablet.otzar.org/#/book/155275/p/-1/t/1/fs/0/start/0/end/0/c</v>
      </c>
    </row>
    <row r="450" spans="1:8" x14ac:dyDescent="0.25">
      <c r="A450">
        <v>158444</v>
      </c>
      <c r="B450" t="s">
        <v>941</v>
      </c>
      <c r="C450" t="s">
        <v>835</v>
      </c>
      <c r="D450" t="s">
        <v>10</v>
      </c>
      <c r="E450" t="s">
        <v>289</v>
      </c>
      <c r="F450" t="s">
        <v>666</v>
      </c>
      <c r="G450" t="str">
        <f>HYPERLINK(_xlfn.CONCAT("https://tablet.otzar.org/",CHAR(35),"/book/158444/p/-1/t/1/fs/0/start/0/end/0/c"),"ספר אסף")</f>
        <v>ספר אסף</v>
      </c>
      <c r="H450" t="str">
        <f>_xlfn.CONCAT("https://tablet.otzar.org/",CHAR(35),"/book/158444/p/-1/t/1/fs/0/start/0/end/0/c")</f>
        <v>https://tablet.otzar.org/#/book/158444/p/-1/t/1/fs/0/start/0/end/0/c</v>
      </c>
    </row>
    <row r="451" spans="1:8" x14ac:dyDescent="0.25">
      <c r="A451">
        <v>622822</v>
      </c>
      <c r="B451" t="s">
        <v>942</v>
      </c>
      <c r="C451" t="s">
        <v>17</v>
      </c>
      <c r="D451" t="s">
        <v>10</v>
      </c>
      <c r="E451" t="s">
        <v>43</v>
      </c>
      <c r="F451" t="s">
        <v>19</v>
      </c>
      <c r="G451" t="str">
        <f>HYPERLINK(_xlfn.CONCAT("https://tablet.otzar.org/",CHAR(35),"/book/622822/p/-1/t/1/fs/0/start/0/end/0/c"),"ספר דניאל עם פירושי אבן עזרא")</f>
        <v>ספר דניאל עם פירושי אבן עזרא</v>
      </c>
      <c r="H451" t="str">
        <f>_xlfn.CONCAT("https://tablet.otzar.org/",CHAR(35),"/book/622822/p/-1/t/1/fs/0/start/0/end/0/c")</f>
        <v>https://tablet.otzar.org/#/book/622822/p/-1/t/1/fs/0/start/0/end/0/c</v>
      </c>
    </row>
    <row r="452" spans="1:8" x14ac:dyDescent="0.25">
      <c r="A452">
        <v>103271</v>
      </c>
      <c r="B452" t="s">
        <v>943</v>
      </c>
      <c r="C452" t="s">
        <v>943</v>
      </c>
      <c r="D452" t="s">
        <v>10</v>
      </c>
      <c r="E452" t="s">
        <v>944</v>
      </c>
      <c r="F452" t="s">
        <v>40</v>
      </c>
      <c r="G452" t="str">
        <f>HYPERLINK(_xlfn.CONCAT("https://tablet.otzar.org/",CHAR(35),"/book/103271/p/-1/t/1/fs/0/start/0/end/0/c"),"ספר הבהיר")</f>
        <v>ספר הבהיר</v>
      </c>
      <c r="H452" t="str">
        <f>_xlfn.CONCAT("https://tablet.otzar.org/",CHAR(35),"/book/103271/p/-1/t/1/fs/0/start/0/end/0/c")</f>
        <v>https://tablet.otzar.org/#/book/103271/p/-1/t/1/fs/0/start/0/end/0/c</v>
      </c>
    </row>
    <row r="453" spans="1:8" x14ac:dyDescent="0.25">
      <c r="A453">
        <v>157006</v>
      </c>
      <c r="B453" t="s">
        <v>945</v>
      </c>
      <c r="C453" t="s">
        <v>945</v>
      </c>
      <c r="D453" t="s">
        <v>10</v>
      </c>
      <c r="E453" t="s">
        <v>405</v>
      </c>
      <c r="F453" t="s">
        <v>241</v>
      </c>
      <c r="G453" t="str">
        <f>HYPERLINK(_xlfn.CONCAT("https://tablet.otzar.org/",CHAR(35),"/book/157006/p/-1/t/1/fs/0/start/0/end/0/c"),"ספר הבעש""""ט")</f>
        <v>ספר הבעש""ט</v>
      </c>
      <c r="H453" t="str">
        <f>_xlfn.CONCAT("https://tablet.otzar.org/",CHAR(35),"/book/157006/p/-1/t/1/fs/0/start/0/end/0/c")</f>
        <v>https://tablet.otzar.org/#/book/157006/p/-1/t/1/fs/0/start/0/end/0/c</v>
      </c>
    </row>
    <row r="454" spans="1:8" x14ac:dyDescent="0.25">
      <c r="A454">
        <v>155368</v>
      </c>
      <c r="B454" t="s">
        <v>946</v>
      </c>
      <c r="C454" t="s">
        <v>947</v>
      </c>
      <c r="D454" t="s">
        <v>10</v>
      </c>
      <c r="E454" t="s">
        <v>347</v>
      </c>
      <c r="F454" t="s">
        <v>19</v>
      </c>
      <c r="G454" t="str">
        <f>HYPERLINK(_xlfn.CONCAT("https://tablet.otzar.org/",CHAR(35),"/book/155368/p/-1/t/1/fs/0/start/0/end/0/c"),"ספר הג""""ן - פירוש לחמישה חומשי תורה")</f>
        <v>ספר הג""ן - פירוש לחמישה חומשי תורה</v>
      </c>
      <c r="H454" t="str">
        <f>_xlfn.CONCAT("https://tablet.otzar.org/",CHAR(35),"/book/155368/p/-1/t/1/fs/0/start/0/end/0/c")</f>
        <v>https://tablet.otzar.org/#/book/155368/p/-1/t/1/fs/0/start/0/end/0/c</v>
      </c>
    </row>
    <row r="455" spans="1:8" x14ac:dyDescent="0.25">
      <c r="A455">
        <v>104095</v>
      </c>
      <c r="B455" t="s">
        <v>948</v>
      </c>
      <c r="C455" t="s">
        <v>61</v>
      </c>
      <c r="D455" t="s">
        <v>10</v>
      </c>
      <c r="E455" t="s">
        <v>533</v>
      </c>
      <c r="F455" t="s">
        <v>949</v>
      </c>
      <c r="G455" t="str">
        <f>HYPERLINK(_xlfn.CONCAT("https://tablet.otzar.org/",CHAR(35),"/exKotar/104095"),"ספר הגר""""א - 2 כרכים")</f>
        <v>ספר הגר""א - 2 כרכים</v>
      </c>
      <c r="H455" t="str">
        <f>_xlfn.CONCAT("https://tablet.otzar.org/",CHAR(35),"/exKotar/104095")</f>
        <v>https://tablet.otzar.org/#/exKotar/104095</v>
      </c>
    </row>
    <row r="456" spans="1:8" x14ac:dyDescent="0.25">
      <c r="A456">
        <v>155381</v>
      </c>
      <c r="B456" t="s">
        <v>950</v>
      </c>
      <c r="C456" t="s">
        <v>951</v>
      </c>
      <c r="D456" t="s">
        <v>10</v>
      </c>
      <c r="E456" t="s">
        <v>952</v>
      </c>
      <c r="F456" t="s">
        <v>953</v>
      </c>
      <c r="G456" t="str">
        <f>HYPERLINK(_xlfn.CONCAT("https://tablet.otzar.org/",CHAR(35),"/exKotar/155381"),"ספר הזהר &lt;ניצוצי זהר&gt;  - 3 כרכים")</f>
        <v>ספר הזהר &lt;ניצוצי זהר&gt;  - 3 כרכים</v>
      </c>
      <c r="H456" t="str">
        <f>_xlfn.CONCAT("https://tablet.otzar.org/",CHAR(35),"/exKotar/155381")</f>
        <v>https://tablet.otzar.org/#/exKotar/155381</v>
      </c>
    </row>
    <row r="457" spans="1:8" x14ac:dyDescent="0.25">
      <c r="A457">
        <v>157043</v>
      </c>
      <c r="B457" t="s">
        <v>954</v>
      </c>
      <c r="C457" t="s">
        <v>955</v>
      </c>
      <c r="D457" t="s">
        <v>10</v>
      </c>
      <c r="E457" t="s">
        <v>533</v>
      </c>
      <c r="G457" t="str">
        <f>HYPERLINK(_xlfn.CONCAT("https://tablet.otzar.org/",CHAR(35),"/book/157043/p/-1/t/1/fs/0/start/0/end/0/c"),"ספר החזיונות")</f>
        <v>ספר החזיונות</v>
      </c>
      <c r="H457" t="str">
        <f>_xlfn.CONCAT("https://tablet.otzar.org/",CHAR(35),"/book/157043/p/-1/t/1/fs/0/start/0/end/0/c")</f>
        <v>https://tablet.otzar.org/#/book/157043/p/-1/t/1/fs/0/start/0/end/0/c</v>
      </c>
    </row>
    <row r="458" spans="1:8" x14ac:dyDescent="0.25">
      <c r="A458">
        <v>15477</v>
      </c>
      <c r="B458" t="s">
        <v>956</v>
      </c>
      <c r="C458" t="s">
        <v>957</v>
      </c>
      <c r="D458" t="s">
        <v>10</v>
      </c>
      <c r="E458" t="s">
        <v>471</v>
      </c>
      <c r="F458" t="s">
        <v>158</v>
      </c>
      <c r="G458" t="str">
        <f>HYPERLINK(_xlfn.CONCAT("https://tablet.otzar.org/",CHAR(35),"/book/15477/p/-1/t/1/fs/0/start/0/end/0/c"),"ספר החיד""""א")</f>
        <v>ספר החיד""א</v>
      </c>
      <c r="H458" t="str">
        <f>_xlfn.CONCAT("https://tablet.otzar.org/",CHAR(35),"/book/15477/p/-1/t/1/fs/0/start/0/end/0/c")</f>
        <v>https://tablet.otzar.org/#/book/15477/p/-1/t/1/fs/0/start/0/end/0/c</v>
      </c>
    </row>
    <row r="459" spans="1:8" x14ac:dyDescent="0.25">
      <c r="A459">
        <v>155287</v>
      </c>
      <c r="B459" t="s">
        <v>958</v>
      </c>
      <c r="C459" t="s">
        <v>959</v>
      </c>
      <c r="D459" t="s">
        <v>10</v>
      </c>
      <c r="E459" t="s">
        <v>427</v>
      </c>
      <c r="F459" t="s">
        <v>29</v>
      </c>
      <c r="G459" t="str">
        <f>HYPERLINK(_xlfn.CONCAT("https://tablet.otzar.org/",CHAR(35),"/book/155287/p/-1/t/1/fs/0/start/0/end/0/c"),"ספר החינוך &lt;מוה""""ק&gt;")</f>
        <v>ספר החינוך &lt;מוה""ק&gt;</v>
      </c>
      <c r="H459" t="str">
        <f>_xlfn.CONCAT("https://tablet.otzar.org/",CHAR(35),"/book/155287/p/-1/t/1/fs/0/start/0/end/0/c")</f>
        <v>https://tablet.otzar.org/#/book/155287/p/-1/t/1/fs/0/start/0/end/0/c</v>
      </c>
    </row>
    <row r="460" spans="1:8" x14ac:dyDescent="0.25">
      <c r="A460">
        <v>156472</v>
      </c>
      <c r="B460" t="s">
        <v>960</v>
      </c>
      <c r="C460" t="s">
        <v>479</v>
      </c>
      <c r="D460" t="s">
        <v>10</v>
      </c>
      <c r="E460" t="s">
        <v>314</v>
      </c>
      <c r="F460" t="s">
        <v>97</v>
      </c>
      <c r="G460" t="str">
        <f>HYPERLINK(_xlfn.CONCAT("https://tablet.otzar.org/",CHAR(35),"/book/156472/p/-1/t/1/fs/0/start/0/end/0/c"),"ספר היובל לרבי חנוך אלבק")</f>
        <v>ספר היובל לרבי חנוך אלבק</v>
      </c>
      <c r="H460" t="str">
        <f>_xlfn.CONCAT("https://tablet.otzar.org/",CHAR(35),"/book/156472/p/-1/t/1/fs/0/start/0/end/0/c")</f>
        <v>https://tablet.otzar.org/#/book/156472/p/-1/t/1/fs/0/start/0/end/0/c</v>
      </c>
    </row>
    <row r="461" spans="1:8" x14ac:dyDescent="0.25">
      <c r="A461">
        <v>10468</v>
      </c>
      <c r="B461" t="s">
        <v>961</v>
      </c>
      <c r="C461" t="s">
        <v>962</v>
      </c>
      <c r="D461" t="s">
        <v>10</v>
      </c>
      <c r="E461" t="s">
        <v>130</v>
      </c>
      <c r="F461" t="s">
        <v>85</v>
      </c>
      <c r="G461" t="str">
        <f>HYPERLINK(_xlfn.CONCAT("https://tablet.otzar.org/",CHAR(35),"/book/10468/p/-1/t/1/fs/0/start/0/end/0/c"),"ספר המדע לרמב""""ם")</f>
        <v>ספר המדע לרמב""ם</v>
      </c>
      <c r="H461" t="str">
        <f>_xlfn.CONCAT("https://tablet.otzar.org/",CHAR(35),"/book/10468/p/-1/t/1/fs/0/start/0/end/0/c")</f>
        <v>https://tablet.otzar.org/#/book/10468/p/-1/t/1/fs/0/start/0/end/0/c</v>
      </c>
    </row>
    <row r="462" spans="1:8" x14ac:dyDescent="0.25">
      <c r="A462">
        <v>156270</v>
      </c>
      <c r="B462" t="s">
        <v>963</v>
      </c>
      <c r="C462" t="s">
        <v>964</v>
      </c>
      <c r="D462" t="s">
        <v>10</v>
      </c>
      <c r="E462" t="s">
        <v>278</v>
      </c>
      <c r="F462" t="s">
        <v>97</v>
      </c>
      <c r="G462" t="str">
        <f>HYPERLINK(_xlfn.CONCAT("https://tablet.otzar.org/",CHAR(35),"/book/156270/p/-1/t/1/fs/0/start/0/end/0/c"),"ספר המזרחי")</f>
        <v>ספר המזרחי</v>
      </c>
      <c r="H462" t="str">
        <f>_xlfn.CONCAT("https://tablet.otzar.org/",CHAR(35),"/book/156270/p/-1/t/1/fs/0/start/0/end/0/c")</f>
        <v>https://tablet.otzar.org/#/book/156270/p/-1/t/1/fs/0/start/0/end/0/c</v>
      </c>
    </row>
    <row r="463" spans="1:8" x14ac:dyDescent="0.25">
      <c r="A463">
        <v>15902</v>
      </c>
      <c r="B463" t="s">
        <v>965</v>
      </c>
      <c r="C463" t="s">
        <v>677</v>
      </c>
      <c r="D463" t="s">
        <v>10</v>
      </c>
      <c r="E463" t="s">
        <v>78</v>
      </c>
      <c r="F463" t="s">
        <v>23</v>
      </c>
      <c r="G463" t="str">
        <f>HYPERLINK(_xlfn.CONCAT("https://tablet.otzar.org/",CHAR(35),"/book/15902/p/-1/t/1/fs/0/start/0/end/0/c"),"ספר המליצה")</f>
        <v>ספר המליצה</v>
      </c>
      <c r="H463" t="str">
        <f>_xlfn.CONCAT("https://tablet.otzar.org/",CHAR(35),"/book/15902/p/-1/t/1/fs/0/start/0/end/0/c")</f>
        <v>https://tablet.otzar.org/#/book/15902/p/-1/t/1/fs/0/start/0/end/0/c</v>
      </c>
    </row>
    <row r="464" spans="1:8" x14ac:dyDescent="0.25">
      <c r="A464">
        <v>155088</v>
      </c>
      <c r="B464" t="s">
        <v>966</v>
      </c>
      <c r="C464" t="s">
        <v>967</v>
      </c>
      <c r="D464" t="s">
        <v>10</v>
      </c>
      <c r="E464" t="s">
        <v>204</v>
      </c>
      <c r="F464" t="s">
        <v>85</v>
      </c>
      <c r="G464" t="str">
        <f>HYPERLINK(_xlfn.CONCAT("https://tablet.otzar.org/",CHAR(35),"/exKotar/155088"),"ספר המנהיג &lt;מוה""""ק&gt;  - 2 כרכים")</f>
        <v>ספר המנהיג &lt;מוה""ק&gt;  - 2 כרכים</v>
      </c>
      <c r="H464" t="str">
        <f>_xlfn.CONCAT("https://tablet.otzar.org/",CHAR(35),"/exKotar/155088")</f>
        <v>https://tablet.otzar.org/#/exKotar/155088</v>
      </c>
    </row>
    <row r="465" spans="1:8" x14ac:dyDescent="0.25">
      <c r="A465">
        <v>156323</v>
      </c>
      <c r="B465" t="s">
        <v>968</v>
      </c>
      <c r="C465" t="s">
        <v>969</v>
      </c>
      <c r="D465" t="s">
        <v>10</v>
      </c>
      <c r="E465" t="s">
        <v>120</v>
      </c>
      <c r="F465" t="s">
        <v>85</v>
      </c>
      <c r="G465" t="str">
        <f>HYPERLINK(_xlfn.CONCAT("https://tablet.otzar.org/",CHAR(35),"/book/156323/p/-1/t/1/fs/0/start/0/end/0/c"),"ספר המנוחה")</f>
        <v>ספר המנוחה</v>
      </c>
      <c r="H465" t="str">
        <f>_xlfn.CONCAT("https://tablet.otzar.org/",CHAR(35),"/book/156323/p/-1/t/1/fs/0/start/0/end/0/c")</f>
        <v>https://tablet.otzar.org/#/book/156323/p/-1/t/1/fs/0/start/0/end/0/c</v>
      </c>
    </row>
    <row r="466" spans="1:8" x14ac:dyDescent="0.25">
      <c r="A466">
        <v>155354</v>
      </c>
      <c r="B466" t="s">
        <v>970</v>
      </c>
      <c r="C466" t="s">
        <v>441</v>
      </c>
      <c r="D466" t="s">
        <v>10</v>
      </c>
      <c r="E466" t="s">
        <v>22</v>
      </c>
      <c r="F466" t="s">
        <v>23</v>
      </c>
      <c r="G466" t="str">
        <f>HYPERLINK(_xlfn.CONCAT("https://tablet.otzar.org/",CHAR(35),"/book/155354/p/-1/t/1/fs/0/start/0/end/0/c"),"ספר המצות &lt;הערות ר' חיים העליר&gt;")</f>
        <v>ספר המצות &lt;הערות ר' חיים העליר&gt;</v>
      </c>
      <c r="H466" t="str">
        <f>_xlfn.CONCAT("https://tablet.otzar.org/",CHAR(35),"/book/155354/p/-1/t/1/fs/0/start/0/end/0/c")</f>
        <v>https://tablet.otzar.org/#/book/155354/p/-1/t/1/fs/0/start/0/end/0/c</v>
      </c>
    </row>
    <row r="467" spans="1:8" x14ac:dyDescent="0.25">
      <c r="A467">
        <v>155589</v>
      </c>
      <c r="B467" t="s">
        <v>971</v>
      </c>
      <c r="C467" t="s">
        <v>972</v>
      </c>
      <c r="D467" t="s">
        <v>10</v>
      </c>
      <c r="E467" t="s">
        <v>112</v>
      </c>
      <c r="F467" t="s">
        <v>23</v>
      </c>
      <c r="G467" t="str">
        <f>HYPERLINK(_xlfn.CONCAT("https://tablet.otzar.org/",CHAR(35),"/book/155589/p/-1/t/1/fs/0/start/0/end/0/c"),"ספר המצות להרמב""""ם עם השגות הרמב""""ן &lt;מוה""""ק&gt;")</f>
        <v>ספר המצות להרמב""ם עם השגות הרמב""ן &lt;מוה""ק&gt;</v>
      </c>
      <c r="H467" t="str">
        <f>_xlfn.CONCAT("https://tablet.otzar.org/",CHAR(35),"/book/155589/p/-1/t/1/fs/0/start/0/end/0/c")</f>
        <v>https://tablet.otzar.org/#/book/155589/p/-1/t/1/fs/0/start/0/end/0/c</v>
      </c>
    </row>
    <row r="468" spans="1:8" x14ac:dyDescent="0.25">
      <c r="A468">
        <v>155273</v>
      </c>
      <c r="B468" t="s">
        <v>973</v>
      </c>
      <c r="C468" t="s">
        <v>974</v>
      </c>
      <c r="D468" t="s">
        <v>10</v>
      </c>
      <c r="E468" t="s">
        <v>227</v>
      </c>
      <c r="F468" t="s">
        <v>23</v>
      </c>
      <c r="G468" t="str">
        <f>HYPERLINK(_xlfn.CONCAT("https://tablet.otzar.org/",CHAR(35),"/book/155273/p/-1/t/1/fs/0/start/0/end/0/c"),"ספר המצות לרמב""""ם &lt;מקור ותרגום&gt;")</f>
        <v>ספר המצות לרמב""ם &lt;מקור ותרגום&gt;</v>
      </c>
      <c r="H468" t="str">
        <f>_xlfn.CONCAT("https://tablet.otzar.org/",CHAR(35),"/book/155273/p/-1/t/1/fs/0/start/0/end/0/c")</f>
        <v>https://tablet.otzar.org/#/book/155273/p/-1/t/1/fs/0/start/0/end/0/c</v>
      </c>
    </row>
    <row r="469" spans="1:8" x14ac:dyDescent="0.25">
      <c r="A469">
        <v>157028</v>
      </c>
      <c r="B469" t="s">
        <v>975</v>
      </c>
      <c r="C469" t="s">
        <v>976</v>
      </c>
      <c r="D469" t="s">
        <v>10</v>
      </c>
      <c r="E469" t="s">
        <v>533</v>
      </c>
      <c r="G469" t="str">
        <f>HYPERLINK(_xlfn.CONCAT("https://tablet.otzar.org/",CHAR(35),"/book/157028/p/-1/t/1/fs/0/start/0/end/0/c"),"ספר העגונות")</f>
        <v>ספר העגונות</v>
      </c>
      <c r="H469" t="str">
        <f>_xlfn.CONCAT("https://tablet.otzar.org/",CHAR(35),"/book/157028/p/-1/t/1/fs/0/start/0/end/0/c")</f>
        <v>https://tablet.otzar.org/#/book/157028/p/-1/t/1/fs/0/start/0/end/0/c</v>
      </c>
    </row>
    <row r="470" spans="1:8" x14ac:dyDescent="0.25">
      <c r="A470">
        <v>155588</v>
      </c>
      <c r="B470" t="s">
        <v>977</v>
      </c>
      <c r="C470" t="s">
        <v>978</v>
      </c>
      <c r="D470" t="s">
        <v>10</v>
      </c>
      <c r="E470" t="s">
        <v>727</v>
      </c>
      <c r="F470" t="s">
        <v>135</v>
      </c>
      <c r="G470" t="str">
        <f>HYPERLINK(_xlfn.CONCAT("https://tablet.otzar.org/",CHAR(35),"/exKotar/155588"),"ספר העיקרים ביאורים בעיקרי ההלכות - 2 כרכים")</f>
        <v>ספר העיקרים ביאורים בעיקרי ההלכות - 2 כרכים</v>
      </c>
      <c r="H470" t="str">
        <f>_xlfn.CONCAT("https://tablet.otzar.org/",CHAR(35),"/exKotar/155588")</f>
        <v>https://tablet.otzar.org/#/exKotar/155588</v>
      </c>
    </row>
    <row r="471" spans="1:8" x14ac:dyDescent="0.25">
      <c r="A471">
        <v>612708</v>
      </c>
      <c r="B471" t="s">
        <v>979</v>
      </c>
      <c r="C471" t="s">
        <v>980</v>
      </c>
      <c r="D471" t="s">
        <v>10</v>
      </c>
      <c r="E471" t="s">
        <v>18</v>
      </c>
      <c r="F471" t="s">
        <v>97</v>
      </c>
      <c r="G471" t="str">
        <f>HYPERLINK(_xlfn.CONCAT("https://tablet.otzar.org/",CHAR(35),"/exKotar/612708"),"ספר הציונות הדתית - 2 כרכים")</f>
        <v>ספר הציונות הדתית - 2 כרכים</v>
      </c>
      <c r="H471" t="str">
        <f>_xlfn.CONCAT("https://tablet.otzar.org/",CHAR(35),"/exKotar/612708")</f>
        <v>https://tablet.otzar.org/#/exKotar/612708</v>
      </c>
    </row>
    <row r="472" spans="1:8" x14ac:dyDescent="0.25">
      <c r="A472">
        <v>155195</v>
      </c>
      <c r="B472" t="s">
        <v>981</v>
      </c>
      <c r="C472" t="s">
        <v>982</v>
      </c>
      <c r="D472" t="s">
        <v>10</v>
      </c>
      <c r="E472" t="s">
        <v>944</v>
      </c>
      <c r="F472" t="s">
        <v>85</v>
      </c>
      <c r="G472" t="str">
        <f>HYPERLINK(_xlfn.CONCAT("https://tablet.otzar.org/",CHAR(35),"/book/155195/p/-1/t/1/fs/0/start/0/end/0/c"),"ספר השמיטה")</f>
        <v>ספר השמיטה</v>
      </c>
      <c r="H472" t="str">
        <f>_xlfn.CONCAT("https://tablet.otzar.org/",CHAR(35),"/book/155195/p/-1/t/1/fs/0/start/0/end/0/c")</f>
        <v>https://tablet.otzar.org/#/book/155195/p/-1/t/1/fs/0/start/0/end/0/c</v>
      </c>
    </row>
    <row r="473" spans="1:8" x14ac:dyDescent="0.25">
      <c r="A473">
        <v>677772</v>
      </c>
      <c r="B473" t="s">
        <v>983</v>
      </c>
      <c r="C473" t="s">
        <v>984</v>
      </c>
      <c r="D473" t="s">
        <v>10</v>
      </c>
      <c r="E473" t="s">
        <v>215</v>
      </c>
      <c r="F473" t="s">
        <v>831</v>
      </c>
      <c r="G473" t="str">
        <f>HYPERLINK(_xlfn.CONCAT("https://tablet.otzar.org/",CHAR(35),"/exKotar/677772"),"ספר התשובה &lt;בארי בשדה&gt; - 2 כרכים")</f>
        <v>ספר התשובה &lt;בארי בשדה&gt; - 2 כרכים</v>
      </c>
      <c r="H473" t="str">
        <f>_xlfn.CONCAT("https://tablet.otzar.org/",CHAR(35),"/exKotar/677772")</f>
        <v>https://tablet.otzar.org/#/exKotar/677772</v>
      </c>
    </row>
    <row r="474" spans="1:8" x14ac:dyDescent="0.25">
      <c r="A474">
        <v>155570</v>
      </c>
      <c r="B474" t="s">
        <v>985</v>
      </c>
      <c r="C474" t="s">
        <v>986</v>
      </c>
      <c r="D474" t="s">
        <v>10</v>
      </c>
      <c r="E474" t="s">
        <v>308</v>
      </c>
      <c r="F474" t="s">
        <v>97</v>
      </c>
      <c r="G474" t="str">
        <f>HYPERLINK(_xlfn.CONCAT("https://tablet.otzar.org/",CHAR(35),"/book/155570/p/-1/t/1/fs/0/start/0/end/0/c"),"ספר זכרון להגאון רבי שילה רפאל זצ""""ל")</f>
        <v>ספר זכרון להגאון רבי שילה רפאל זצ""ל</v>
      </c>
      <c r="H474" t="str">
        <f>_xlfn.CONCAT("https://tablet.otzar.org/",CHAR(35),"/book/155570/p/-1/t/1/fs/0/start/0/end/0/c")</f>
        <v>https://tablet.otzar.org/#/book/155570/p/-1/t/1/fs/0/start/0/end/0/c</v>
      </c>
    </row>
    <row r="475" spans="1:8" x14ac:dyDescent="0.25">
      <c r="A475">
        <v>155274</v>
      </c>
      <c r="B475" t="s">
        <v>987</v>
      </c>
      <c r="C475" t="s">
        <v>988</v>
      </c>
      <c r="D475" t="s">
        <v>10</v>
      </c>
      <c r="E475" t="s">
        <v>132</v>
      </c>
      <c r="F475" t="s">
        <v>85</v>
      </c>
      <c r="G475" t="str">
        <f>HYPERLINK(_xlfn.CONCAT("https://tablet.otzar.org/",CHAR(35),"/book/155274/p/-1/t/1/fs/0/start/0/end/0/c"),"ספר חסידים &lt;מקור חסד&gt;")</f>
        <v>ספר חסידים &lt;מקור חסד&gt;</v>
      </c>
      <c r="H475" t="str">
        <f>_xlfn.CONCAT("https://tablet.otzar.org/",CHAR(35),"/book/155274/p/-1/t/1/fs/0/start/0/end/0/c")</f>
        <v>https://tablet.otzar.org/#/book/155274/p/-1/t/1/fs/0/start/0/end/0/c</v>
      </c>
    </row>
    <row r="476" spans="1:8" x14ac:dyDescent="0.25">
      <c r="A476">
        <v>157049</v>
      </c>
      <c r="B476" t="s">
        <v>989</v>
      </c>
      <c r="C476" t="s">
        <v>990</v>
      </c>
      <c r="D476" t="s">
        <v>10</v>
      </c>
      <c r="E476" t="s">
        <v>314</v>
      </c>
      <c r="F476" t="s">
        <v>97</v>
      </c>
      <c r="G476" t="str">
        <f>HYPERLINK(_xlfn.CONCAT("https://tablet.otzar.org/",CHAR(35),"/book/157049/p/-1/t/1/fs/0/start/0/end/0/c"),"ספר יובל &lt;ר' ישראל אלפנביין&gt;")</f>
        <v>ספר יובל &lt;ר' ישראל אלפנביין&gt;</v>
      </c>
      <c r="H476" t="str">
        <f>_xlfn.CONCAT("https://tablet.otzar.org/",CHAR(35),"/book/157049/p/-1/t/1/fs/0/start/0/end/0/c")</f>
        <v>https://tablet.otzar.org/#/book/157049/p/-1/t/1/fs/0/start/0/end/0/c</v>
      </c>
    </row>
    <row r="477" spans="1:8" x14ac:dyDescent="0.25">
      <c r="A477">
        <v>681335</v>
      </c>
      <c r="B477" t="s">
        <v>991</v>
      </c>
      <c r="C477" t="s">
        <v>61</v>
      </c>
      <c r="D477" t="s">
        <v>10</v>
      </c>
      <c r="E477" t="s">
        <v>116</v>
      </c>
      <c r="F477" t="s">
        <v>507</v>
      </c>
      <c r="G477" t="str">
        <f>HYPERLINK(_xlfn.CONCAT("https://tablet.otzar.org/",CHAR(35),"/book/681335/p/-1/t/1/fs/0/start/0/end/0/c"),"ספר יצירה עם ביאור הגר""""א &lt;המפורש&gt;")</f>
        <v>ספר יצירה עם ביאור הגר""א &lt;המפורש&gt;</v>
      </c>
      <c r="H477" t="str">
        <f>_xlfn.CONCAT("https://tablet.otzar.org/",CHAR(35),"/book/681335/p/-1/t/1/fs/0/start/0/end/0/c")</f>
        <v>https://tablet.otzar.org/#/book/681335/p/-1/t/1/fs/0/start/0/end/0/c</v>
      </c>
    </row>
    <row r="478" spans="1:8" x14ac:dyDescent="0.25">
      <c r="A478">
        <v>601541</v>
      </c>
      <c r="B478" t="s">
        <v>992</v>
      </c>
      <c r="C478" t="s">
        <v>17</v>
      </c>
      <c r="D478" t="s">
        <v>10</v>
      </c>
      <c r="E478" t="s">
        <v>187</v>
      </c>
      <c r="F478" t="s">
        <v>23</v>
      </c>
      <c r="G478" t="str">
        <f>HYPERLINK(_xlfn.CONCAT("https://tablet.otzar.org/",CHAR(35),"/book/601541/p/-1/t/1/fs/0/start/0/end/0/c"),"ספר מאזנים")</f>
        <v>ספר מאזנים</v>
      </c>
      <c r="H478" t="str">
        <f>_xlfn.CONCAT("https://tablet.otzar.org/",CHAR(35),"/book/601541/p/-1/t/1/fs/0/start/0/end/0/c")</f>
        <v>https://tablet.otzar.org/#/book/601541/p/-1/t/1/fs/0/start/0/end/0/c</v>
      </c>
    </row>
    <row r="479" spans="1:8" x14ac:dyDescent="0.25">
      <c r="A479">
        <v>157005</v>
      </c>
      <c r="B479" t="s">
        <v>993</v>
      </c>
      <c r="C479" t="s">
        <v>994</v>
      </c>
      <c r="D479" t="s">
        <v>10</v>
      </c>
      <c r="E479" t="s">
        <v>388</v>
      </c>
      <c r="F479" t="s">
        <v>97</v>
      </c>
      <c r="G479" t="str">
        <f>HYPERLINK(_xlfn.CONCAT("https://tablet.otzar.org/",CHAR(35),"/book/157005/p/-1/t/1/fs/0/start/0/end/0/c"),"ספר מרגליות")</f>
        <v>ספר מרגליות</v>
      </c>
      <c r="H479" t="str">
        <f>_xlfn.CONCAT("https://tablet.otzar.org/",CHAR(35),"/book/157005/p/-1/t/1/fs/0/start/0/end/0/c")</f>
        <v>https://tablet.otzar.org/#/book/157005/p/-1/t/1/fs/0/start/0/end/0/c</v>
      </c>
    </row>
    <row r="480" spans="1:8" x14ac:dyDescent="0.25">
      <c r="A480">
        <v>155277</v>
      </c>
      <c r="B480" t="s">
        <v>995</v>
      </c>
      <c r="C480" t="s">
        <v>996</v>
      </c>
      <c r="D480" t="s">
        <v>10</v>
      </c>
      <c r="E480" t="s">
        <v>347</v>
      </c>
      <c r="F480" t="s">
        <v>19</v>
      </c>
      <c r="G480" t="str">
        <f>HYPERLINK(_xlfn.CONCAT("https://tablet.otzar.org/",CHAR(35),"/book/155277/p/-1/t/1/fs/0/start/0/end/0/c"),"ספר משלי בדברי חז""""ל עם ביאור דברי יעקב")</f>
        <v>ספר משלי בדברי חז""ל עם ביאור דברי יעקב</v>
      </c>
      <c r="H480" t="str">
        <f>_xlfn.CONCAT("https://tablet.otzar.org/",CHAR(35),"/book/155277/p/-1/t/1/fs/0/start/0/end/0/c")</f>
        <v>https://tablet.otzar.org/#/book/155277/p/-1/t/1/fs/0/start/0/end/0/c</v>
      </c>
    </row>
    <row r="481" spans="1:8" x14ac:dyDescent="0.25">
      <c r="A481">
        <v>601562</v>
      </c>
      <c r="B481" t="s">
        <v>997</v>
      </c>
      <c r="C481" t="s">
        <v>17</v>
      </c>
      <c r="D481" t="s">
        <v>10</v>
      </c>
      <c r="E481" t="s">
        <v>187</v>
      </c>
      <c r="F481" t="s">
        <v>23</v>
      </c>
      <c r="G481" t="str">
        <f>HYPERLINK(_xlfn.CONCAT("https://tablet.otzar.org/",CHAR(35),"/book/601562/p/-1/t/1/fs/0/start/0/end/0/c"),"ספר צחות &lt;מהדורה חדשה&gt;")</f>
        <v>ספר צחות &lt;מהדורה חדשה&gt;</v>
      </c>
      <c r="H481" t="str">
        <f>_xlfn.CONCAT("https://tablet.otzar.org/",CHAR(35),"/book/601562/p/-1/t/1/fs/0/start/0/end/0/c")</f>
        <v>https://tablet.otzar.org/#/book/601562/p/-1/t/1/fs/0/start/0/end/0/c</v>
      </c>
    </row>
    <row r="482" spans="1:8" x14ac:dyDescent="0.25">
      <c r="A482">
        <v>170008</v>
      </c>
      <c r="B482" t="s">
        <v>998</v>
      </c>
      <c r="C482" t="s">
        <v>999</v>
      </c>
      <c r="D482" t="s">
        <v>10</v>
      </c>
      <c r="E482" t="s">
        <v>157</v>
      </c>
      <c r="F482" t="s">
        <v>19</v>
      </c>
      <c r="G482" t="str">
        <f>HYPERLINK(_xlfn.CONCAT("https://tablet.otzar.org/",CHAR(35),"/book/170008/p/-1/t/1/fs/0/start/0/end/0/c"),"ספר קהלת עם פירושי אבן עזרא")</f>
        <v>ספר קהלת עם פירושי אבן עזרא</v>
      </c>
      <c r="H482" t="str">
        <f>_xlfn.CONCAT("https://tablet.otzar.org/",CHAR(35),"/book/170008/p/-1/t/1/fs/0/start/0/end/0/c")</f>
        <v>https://tablet.otzar.org/#/book/170008/p/-1/t/1/fs/0/start/0/end/0/c</v>
      </c>
    </row>
    <row r="483" spans="1:8" x14ac:dyDescent="0.25">
      <c r="A483">
        <v>157369</v>
      </c>
      <c r="B483" t="s">
        <v>1000</v>
      </c>
      <c r="C483" t="s">
        <v>1001</v>
      </c>
      <c r="D483" t="s">
        <v>10</v>
      </c>
      <c r="E483" t="s">
        <v>18</v>
      </c>
      <c r="F483" t="s">
        <v>19</v>
      </c>
      <c r="G483" t="str">
        <f>HYPERLINK(_xlfn.CONCAT("https://tablet.otzar.org/",CHAR(35),"/exKotar/157369"),"ספר רושיינא - 4 כרכים")</f>
        <v>ספר רושיינא - 4 כרכים</v>
      </c>
      <c r="H483" t="str">
        <f>_xlfn.CONCAT("https://tablet.otzar.org/",CHAR(35),"/exKotar/157369")</f>
        <v>https://tablet.otzar.org/#/exKotar/157369</v>
      </c>
    </row>
    <row r="484" spans="1:8" x14ac:dyDescent="0.25">
      <c r="A484">
        <v>155286</v>
      </c>
      <c r="B484" t="s">
        <v>1002</v>
      </c>
      <c r="C484" t="s">
        <v>509</v>
      </c>
      <c r="D484" t="s">
        <v>10</v>
      </c>
      <c r="E484" t="s">
        <v>202</v>
      </c>
      <c r="F484" t="s">
        <v>97</v>
      </c>
      <c r="G484" t="str">
        <f>HYPERLINK(_xlfn.CONCAT("https://tablet.otzar.org/",CHAR(35),"/book/155286/p/-1/t/1/fs/0/start/0/end/0/c"),"ספר רפאל")</f>
        <v>ספר רפאל</v>
      </c>
      <c r="H484" t="str">
        <f>_xlfn.CONCAT("https://tablet.otzar.org/",CHAR(35),"/book/155286/p/-1/t/1/fs/0/start/0/end/0/c")</f>
        <v>https://tablet.otzar.org/#/book/155286/p/-1/t/1/fs/0/start/0/end/0/c</v>
      </c>
    </row>
    <row r="485" spans="1:8" x14ac:dyDescent="0.25">
      <c r="A485">
        <v>155196</v>
      </c>
      <c r="B485" t="s">
        <v>1003</v>
      </c>
      <c r="C485" t="s">
        <v>31</v>
      </c>
      <c r="D485" t="s">
        <v>10</v>
      </c>
      <c r="E485" t="s">
        <v>636</v>
      </c>
      <c r="F485" t="s">
        <v>19</v>
      </c>
      <c r="G485" t="str">
        <f>HYPERLINK(_xlfn.CONCAT("https://tablet.otzar.org/",CHAR(35),"/book/155196/p/-1/t/1/fs/0/start/0/end/0/c"),"ספר תהלים עם פירוש רש""""ר הירש")</f>
        <v>ספר תהלים עם פירוש רש""ר הירש</v>
      </c>
      <c r="H485" t="str">
        <f>_xlfn.CONCAT("https://tablet.otzar.org/",CHAR(35),"/book/155196/p/-1/t/1/fs/0/start/0/end/0/c")</f>
        <v>https://tablet.otzar.org/#/book/155196/p/-1/t/1/fs/0/start/0/end/0/c</v>
      </c>
    </row>
    <row r="486" spans="1:8" x14ac:dyDescent="0.25">
      <c r="A486">
        <v>677797</v>
      </c>
      <c r="B486" t="s">
        <v>1004</v>
      </c>
      <c r="C486" t="s">
        <v>61</v>
      </c>
      <c r="D486" t="s">
        <v>10</v>
      </c>
      <c r="E486" t="s">
        <v>338</v>
      </c>
      <c r="F486" t="s">
        <v>507</v>
      </c>
      <c r="G486" t="str">
        <f>HYPERLINK(_xlfn.CONCAT("https://tablet.otzar.org/",CHAR(35),"/book/677797/p/-1/t/1/fs/0/start/0/end/0/c"),"ספרא דצניעותא עם ביאור הגר""""א")</f>
        <v>ספרא דצניעותא עם ביאור הגר""א</v>
      </c>
      <c r="H486" t="str">
        <f>_xlfn.CONCAT("https://tablet.otzar.org/",CHAR(35),"/book/677797/p/-1/t/1/fs/0/start/0/end/0/c")</f>
        <v>https://tablet.otzar.org/#/book/677797/p/-1/t/1/fs/0/start/0/end/0/c</v>
      </c>
    </row>
    <row r="487" spans="1:8" x14ac:dyDescent="0.25">
      <c r="A487">
        <v>181022</v>
      </c>
      <c r="B487" t="s">
        <v>1005</v>
      </c>
      <c r="C487" t="s">
        <v>1006</v>
      </c>
      <c r="D487" t="s">
        <v>10</v>
      </c>
      <c r="E487" t="s">
        <v>394</v>
      </c>
      <c r="F487" t="s">
        <v>158</v>
      </c>
      <c r="G487" t="str">
        <f>HYPERLINK(_xlfn.CONCAT("https://tablet.otzar.org/",CHAR(35),"/book/181022/p/-1/t/1/fs/0/start/0/end/0/c"),"ספרא וסייפא")</f>
        <v>ספרא וסייפא</v>
      </c>
      <c r="H487" t="str">
        <f>_xlfn.CONCAT("https://tablet.otzar.org/",CHAR(35),"/book/181022/p/-1/t/1/fs/0/start/0/end/0/c")</f>
        <v>https://tablet.otzar.org/#/book/181022/p/-1/t/1/fs/0/start/0/end/0/c</v>
      </c>
    </row>
    <row r="488" spans="1:8" x14ac:dyDescent="0.25">
      <c r="A488">
        <v>155515</v>
      </c>
      <c r="B488" t="s">
        <v>1007</v>
      </c>
      <c r="C488" t="s">
        <v>1008</v>
      </c>
      <c r="D488" t="s">
        <v>10</v>
      </c>
      <c r="E488" t="s">
        <v>36</v>
      </c>
      <c r="F488" t="s">
        <v>40</v>
      </c>
      <c r="G488" t="str">
        <f>HYPERLINK(_xlfn.CONCAT("https://tablet.otzar.org/",CHAR(35),"/exKotar/155515"),"ספרי עם פירוש תולדות אדם - 2 כרכים")</f>
        <v>ספרי עם פירוש תולדות אדם - 2 כרכים</v>
      </c>
      <c r="H488" t="str">
        <f>_xlfn.CONCAT("https://tablet.otzar.org/",CHAR(35),"/exKotar/155515")</f>
        <v>https://tablet.otzar.org/#/exKotar/155515</v>
      </c>
    </row>
    <row r="489" spans="1:8" x14ac:dyDescent="0.25">
      <c r="A489">
        <v>155370</v>
      </c>
      <c r="B489" t="s">
        <v>1009</v>
      </c>
      <c r="C489" t="s">
        <v>111</v>
      </c>
      <c r="D489" t="s">
        <v>10</v>
      </c>
      <c r="E489" t="s">
        <v>308</v>
      </c>
      <c r="F489" t="s">
        <v>23</v>
      </c>
      <c r="G489" t="str">
        <f>HYPERLINK(_xlfn.CONCAT("https://tablet.otzar.org/",CHAR(35),"/exKotar/155370"),"ספרים באנגלית - 9 כרכים")</f>
        <v>ספרים באנגלית - 9 כרכים</v>
      </c>
      <c r="H489" t="str">
        <f>_xlfn.CONCAT("https://tablet.otzar.org/",CHAR(35),"/exKotar/155370")</f>
        <v>https://tablet.otzar.org/#/exKotar/155370</v>
      </c>
    </row>
    <row r="490" spans="1:8" x14ac:dyDescent="0.25">
      <c r="A490">
        <v>155572</v>
      </c>
      <c r="B490" t="s">
        <v>1010</v>
      </c>
      <c r="C490" t="s">
        <v>1011</v>
      </c>
      <c r="D490" t="s">
        <v>10</v>
      </c>
      <c r="E490" t="s">
        <v>727</v>
      </c>
      <c r="F490" t="s">
        <v>19</v>
      </c>
      <c r="G490" t="str">
        <f>HYPERLINK(_xlfn.CONCAT("https://tablet.otzar.org/",CHAR(35),"/exKotar/155572"),"ספרים ברוסית - 4 כרכים")</f>
        <v>ספרים ברוסית - 4 כרכים</v>
      </c>
      <c r="H490" t="str">
        <f>_xlfn.CONCAT("https://tablet.otzar.org/",CHAR(35),"/exKotar/155572")</f>
        <v>https://tablet.otzar.org/#/exKotar/155572</v>
      </c>
    </row>
    <row r="491" spans="1:8" x14ac:dyDescent="0.25">
      <c r="A491">
        <v>156195</v>
      </c>
      <c r="B491" t="s">
        <v>1012</v>
      </c>
      <c r="C491" t="s">
        <v>137</v>
      </c>
      <c r="D491" t="s">
        <v>10</v>
      </c>
      <c r="E491" t="s">
        <v>240</v>
      </c>
      <c r="F491" t="s">
        <v>23</v>
      </c>
      <c r="G491" t="str">
        <f>HYPERLINK(_xlfn.CONCAT("https://tablet.otzar.org/",CHAR(35),"/book/156195/p/-1/t/1/fs/0/start/0/end/0/c"),"ספרן של יחידים")</f>
        <v>ספרן של יחידים</v>
      </c>
      <c r="H491" t="str">
        <f>_xlfn.CONCAT("https://tablet.otzar.org/",CHAR(35),"/book/156195/p/-1/t/1/fs/0/start/0/end/0/c")</f>
        <v>https://tablet.otzar.org/#/book/156195/p/-1/t/1/fs/0/start/0/end/0/c</v>
      </c>
    </row>
    <row r="492" spans="1:8" x14ac:dyDescent="0.25">
      <c r="A492">
        <v>155549</v>
      </c>
      <c r="B492" t="s">
        <v>1013</v>
      </c>
      <c r="C492" t="s">
        <v>1014</v>
      </c>
      <c r="D492" t="s">
        <v>10</v>
      </c>
      <c r="E492" t="s">
        <v>193</v>
      </c>
      <c r="F492" t="s">
        <v>85</v>
      </c>
      <c r="G492" t="str">
        <f>HYPERLINK(_xlfn.CONCAT("https://tablet.otzar.org/",CHAR(35),"/book/155549/p/-1/t/1/fs/0/start/0/end/0/c"),"עבודת המלך &lt;מוה""""ק&gt;")</f>
        <v>עבודת המלך &lt;מוה""ק&gt;</v>
      </c>
      <c r="H492" t="str">
        <f>_xlfn.CONCAT("https://tablet.otzar.org/",CHAR(35),"/book/155549/p/-1/t/1/fs/0/start/0/end/0/c")</f>
        <v>https://tablet.otzar.org/#/book/155549/p/-1/t/1/fs/0/start/0/end/0/c</v>
      </c>
    </row>
    <row r="493" spans="1:8" x14ac:dyDescent="0.25">
      <c r="A493">
        <v>194434</v>
      </c>
      <c r="B493" t="s">
        <v>1015</v>
      </c>
      <c r="C493" t="s">
        <v>1016</v>
      </c>
      <c r="D493" t="s">
        <v>10</v>
      </c>
      <c r="E493" t="s">
        <v>394</v>
      </c>
      <c r="F493" t="s">
        <v>55</v>
      </c>
      <c r="G493" t="str">
        <f>HYPERLINK(_xlfn.CONCAT("https://tablet.otzar.org/",CHAR(35),"/book/194434/p/-1/t/1/fs/0/start/0/end/0/c"),"עבודת הנפש")</f>
        <v>עבודת הנפש</v>
      </c>
      <c r="H493" t="str">
        <f>_xlfn.CONCAT("https://tablet.otzar.org/",CHAR(35),"/book/194434/p/-1/t/1/fs/0/start/0/end/0/c")</f>
        <v>https://tablet.otzar.org/#/book/194434/p/-1/t/1/fs/0/start/0/end/0/c</v>
      </c>
    </row>
    <row r="494" spans="1:8" x14ac:dyDescent="0.25">
      <c r="A494">
        <v>155261</v>
      </c>
      <c r="B494" t="s">
        <v>1017</v>
      </c>
      <c r="C494" t="s">
        <v>1018</v>
      </c>
      <c r="D494" t="s">
        <v>10</v>
      </c>
      <c r="E494" t="s">
        <v>132</v>
      </c>
      <c r="F494" t="s">
        <v>85</v>
      </c>
      <c r="G494" t="str">
        <f>HYPERLINK(_xlfn.CONCAT("https://tablet.otzar.org/",CHAR(35),"/exKotar/155261"),"עבודת הקודש עם ביאור עבודת עבודה - 2 כרכים")</f>
        <v>עבודת הקודש עם ביאור עבודת עבודה - 2 כרכים</v>
      </c>
      <c r="H494" t="str">
        <f>_xlfn.CONCAT("https://tablet.otzar.org/",CHAR(35),"/exKotar/155261")</f>
        <v>https://tablet.otzar.org/#/exKotar/155261</v>
      </c>
    </row>
    <row r="495" spans="1:8" x14ac:dyDescent="0.25">
      <c r="A495">
        <v>155183</v>
      </c>
      <c r="B495" t="s">
        <v>1019</v>
      </c>
      <c r="C495" t="s">
        <v>964</v>
      </c>
      <c r="D495" t="s">
        <v>10</v>
      </c>
      <c r="E495" t="s">
        <v>202</v>
      </c>
      <c r="F495" t="s">
        <v>123</v>
      </c>
      <c r="G495" t="str">
        <f>HYPERLINK(_xlfn.CONCAT("https://tablet.otzar.org/",CHAR(35),"/book/155183/p/-1/t/1/fs/0/start/0/end/0/c"),"עדות ביעקב - שו""""ת")</f>
        <v>עדות ביעקב - שו""ת</v>
      </c>
      <c r="H495" t="str">
        <f>_xlfn.CONCAT("https://tablet.otzar.org/",CHAR(35),"/book/155183/p/-1/t/1/fs/0/start/0/end/0/c")</f>
        <v>https://tablet.otzar.org/#/book/155183/p/-1/t/1/fs/0/start/0/end/0/c</v>
      </c>
    </row>
    <row r="496" spans="1:8" x14ac:dyDescent="0.25">
      <c r="A496">
        <v>606739</v>
      </c>
      <c r="B496" t="s">
        <v>1020</v>
      </c>
      <c r="C496" t="s">
        <v>261</v>
      </c>
      <c r="D496" t="s">
        <v>10</v>
      </c>
      <c r="E496" t="s">
        <v>100</v>
      </c>
      <c r="F496" t="s">
        <v>23</v>
      </c>
      <c r="G496" t="str">
        <f>HYPERLINK(_xlfn.CONCAT("https://tablet.otzar.org/",CHAR(35),"/book/606739/p/-1/t/1/fs/0/start/0/end/0/c"),"עולם הקרבנות")</f>
        <v>עולם הקרבנות</v>
      </c>
      <c r="H496" t="str">
        <f>_xlfn.CONCAT("https://tablet.otzar.org/",CHAR(35),"/book/606739/p/-1/t/1/fs/0/start/0/end/0/c")</f>
        <v>https://tablet.otzar.org/#/book/606739/p/-1/t/1/fs/0/start/0/end/0/c</v>
      </c>
    </row>
    <row r="497" spans="1:8" x14ac:dyDescent="0.25">
      <c r="A497">
        <v>155292</v>
      </c>
      <c r="B497" t="s">
        <v>1021</v>
      </c>
      <c r="C497" t="s">
        <v>1022</v>
      </c>
      <c r="D497" t="s">
        <v>10</v>
      </c>
      <c r="E497" t="s">
        <v>22</v>
      </c>
      <c r="F497" t="s">
        <v>322</v>
      </c>
      <c r="G497" t="str">
        <f>HYPERLINK(_xlfn.CONCAT("https://tablet.otzar.org/",CHAR(35),"/exKotar/155292"),"עולם התפילות - 2 כרכים")</f>
        <v>עולם התפילות - 2 כרכים</v>
      </c>
      <c r="H497" t="str">
        <f>_xlfn.CONCAT("https://tablet.otzar.org/",CHAR(35),"/exKotar/155292")</f>
        <v>https://tablet.otzar.org/#/exKotar/155292</v>
      </c>
    </row>
    <row r="498" spans="1:8" x14ac:dyDescent="0.25">
      <c r="A498">
        <v>154971</v>
      </c>
      <c r="B498" t="s">
        <v>1023</v>
      </c>
      <c r="C498" t="s">
        <v>21</v>
      </c>
      <c r="D498" t="s">
        <v>10</v>
      </c>
      <c r="E498" t="s">
        <v>52</v>
      </c>
      <c r="F498" t="s">
        <v>59</v>
      </c>
      <c r="G498" t="str">
        <f>HYPERLINK(_xlfn.CONCAT("https://tablet.otzar.org/",CHAR(35),"/book/154971/p/-1/t/1/fs/0/start/0/end/0/c"),"עזרת כהן")</f>
        <v>עזרת כהן</v>
      </c>
      <c r="H498" t="str">
        <f>_xlfn.CONCAT("https://tablet.otzar.org/",CHAR(35),"/book/154971/p/-1/t/1/fs/0/start/0/end/0/c")</f>
        <v>https://tablet.otzar.org/#/book/154971/p/-1/t/1/fs/0/start/0/end/0/c</v>
      </c>
    </row>
    <row r="499" spans="1:8" x14ac:dyDescent="0.25">
      <c r="A499">
        <v>156243</v>
      </c>
      <c r="B499" t="s">
        <v>1024</v>
      </c>
      <c r="C499" t="s">
        <v>1025</v>
      </c>
      <c r="D499" t="s">
        <v>10</v>
      </c>
      <c r="E499" t="s">
        <v>32</v>
      </c>
      <c r="F499" t="s">
        <v>23</v>
      </c>
      <c r="G499" t="str">
        <f>HYPERLINK(_xlfn.CONCAT("https://tablet.otzar.org/",CHAR(35),"/book/156243/p/-1/t/1/fs/0/start/0/end/0/c"),"עיון וחקר")</f>
        <v>עיון וחקר</v>
      </c>
      <c r="H499" t="str">
        <f>_xlfn.CONCAT("https://tablet.otzar.org/",CHAR(35),"/book/156243/p/-1/t/1/fs/0/start/0/end/0/c")</f>
        <v>https://tablet.otzar.org/#/book/156243/p/-1/t/1/fs/0/start/0/end/0/c</v>
      </c>
    </row>
    <row r="500" spans="1:8" x14ac:dyDescent="0.25">
      <c r="A500">
        <v>601544</v>
      </c>
      <c r="B500" t="s">
        <v>1026</v>
      </c>
      <c r="C500" t="s">
        <v>418</v>
      </c>
      <c r="D500" t="s">
        <v>10</v>
      </c>
      <c r="E500" t="s">
        <v>187</v>
      </c>
      <c r="F500" t="s">
        <v>322</v>
      </c>
      <c r="G500" t="str">
        <f>HYPERLINK(_xlfn.CONCAT("https://tablet.otzar.org/",CHAR(35),"/book/601544/p/-1/t/1/fs/0/start/0/end/0/c"),"עיון תפילה")</f>
        <v>עיון תפילה</v>
      </c>
      <c r="H500" t="str">
        <f>_xlfn.CONCAT("https://tablet.otzar.org/",CHAR(35),"/book/601544/p/-1/t/1/fs/0/start/0/end/0/c")</f>
        <v>https://tablet.otzar.org/#/book/601544/p/-1/t/1/fs/0/start/0/end/0/c</v>
      </c>
    </row>
    <row r="501" spans="1:8" x14ac:dyDescent="0.25">
      <c r="A501">
        <v>155301</v>
      </c>
      <c r="B501" t="s">
        <v>1027</v>
      </c>
      <c r="C501" t="s">
        <v>1028</v>
      </c>
      <c r="D501" t="s">
        <v>10</v>
      </c>
      <c r="E501" t="s">
        <v>112</v>
      </c>
      <c r="F501" t="s">
        <v>19</v>
      </c>
      <c r="G501" t="str">
        <f>HYPERLINK(_xlfn.CONCAT("https://tablet.otzar.org/",CHAR(35),"/book/155301/p/-1/t/1/fs/0/start/0/end/0/c"),"עיונים בביאור על התורה לרבינו בחיי בן אשר")</f>
        <v>עיונים בביאור על התורה לרבינו בחיי בן אשר</v>
      </c>
      <c r="H501" t="str">
        <f>_xlfn.CONCAT("https://tablet.otzar.org/",CHAR(35),"/book/155301/p/-1/t/1/fs/0/start/0/end/0/c")</f>
        <v>https://tablet.otzar.org/#/book/155301/p/-1/t/1/fs/0/start/0/end/0/c</v>
      </c>
    </row>
    <row r="502" spans="1:8" x14ac:dyDescent="0.25">
      <c r="A502">
        <v>103627</v>
      </c>
      <c r="B502" t="s">
        <v>1029</v>
      </c>
      <c r="C502" t="s">
        <v>800</v>
      </c>
      <c r="D502" t="s">
        <v>10</v>
      </c>
      <c r="E502" t="s">
        <v>204</v>
      </c>
      <c r="F502" t="s">
        <v>158</v>
      </c>
      <c r="G502" t="str">
        <f>HYPERLINK(_xlfn.CONCAT("https://tablet.otzar.org/",CHAR(35),"/book/103627/p/-1/t/1/fs/0/start/0/end/0/c"),"עיונים בדברי חז""""ל ובלשונם")</f>
        <v>עיונים בדברי חז""ל ובלשונם</v>
      </c>
      <c r="H502" t="str">
        <f>_xlfn.CONCAT("https://tablet.otzar.org/",CHAR(35),"/book/103627/p/-1/t/1/fs/0/start/0/end/0/c")</f>
        <v>https://tablet.otzar.org/#/book/103627/p/-1/t/1/fs/0/start/0/end/0/c</v>
      </c>
    </row>
    <row r="503" spans="1:8" x14ac:dyDescent="0.25">
      <c r="A503">
        <v>647302</v>
      </c>
      <c r="B503" t="s">
        <v>1030</v>
      </c>
      <c r="C503" t="s">
        <v>350</v>
      </c>
      <c r="D503" t="s">
        <v>10</v>
      </c>
      <c r="E503" t="s">
        <v>49</v>
      </c>
      <c r="F503" t="s">
        <v>55</v>
      </c>
      <c r="G503" t="str">
        <f>HYPERLINK(_xlfn.CONCAT("https://tablet.otzar.org/",CHAR(35),"/book/647302/p/-1/t/1/fs/0/start/0/end/0/c"),"עיונים בכתביהם של בעלי המוסר")</f>
        <v>עיונים בכתביהם של בעלי המוסר</v>
      </c>
      <c r="H503" t="str">
        <f>_xlfn.CONCAT("https://tablet.otzar.org/",CHAR(35),"/book/647302/p/-1/t/1/fs/0/start/0/end/0/c")</f>
        <v>https://tablet.otzar.org/#/book/647302/p/-1/t/1/fs/0/start/0/end/0/c</v>
      </c>
    </row>
    <row r="504" spans="1:8" x14ac:dyDescent="0.25">
      <c r="A504">
        <v>157356</v>
      </c>
      <c r="B504" t="s">
        <v>1031</v>
      </c>
      <c r="C504" t="s">
        <v>568</v>
      </c>
      <c r="D504" t="s">
        <v>10</v>
      </c>
      <c r="E504" t="s">
        <v>383</v>
      </c>
      <c r="F504" t="s">
        <v>218</v>
      </c>
      <c r="G504" t="str">
        <f>HYPERLINK(_xlfn.CONCAT("https://tablet.otzar.org/",CHAR(35),"/exKotar/157356"),"עיונים במסכתות התלמוד - 2 כרכים")</f>
        <v>עיונים במסכתות התלמוד - 2 כרכים</v>
      </c>
      <c r="H504" t="str">
        <f>_xlfn.CONCAT("https://tablet.otzar.org/",CHAR(35),"/exKotar/157356")</f>
        <v>https://tablet.otzar.org/#/exKotar/157356</v>
      </c>
    </row>
    <row r="505" spans="1:8" x14ac:dyDescent="0.25">
      <c r="A505">
        <v>103629</v>
      </c>
      <c r="B505" t="s">
        <v>1032</v>
      </c>
      <c r="C505" t="s">
        <v>1033</v>
      </c>
      <c r="D505" t="s">
        <v>10</v>
      </c>
      <c r="E505" t="s">
        <v>126</v>
      </c>
      <c r="F505" t="s">
        <v>607</v>
      </c>
      <c r="G505" t="str">
        <f>HYPERLINK(_xlfn.CONCAT("https://tablet.otzar.org/",CHAR(35),"/book/103629/p/-1/t/1/fs/0/start/0/end/0/c"),"עיונים במשנה תורה להרמב""""ם")</f>
        <v>עיונים במשנה תורה להרמב""ם</v>
      </c>
      <c r="H505" t="str">
        <f>_xlfn.CONCAT("https://tablet.otzar.org/",CHAR(35),"/book/103629/p/-1/t/1/fs/0/start/0/end/0/c")</f>
        <v>https://tablet.otzar.org/#/book/103629/p/-1/t/1/fs/0/start/0/end/0/c</v>
      </c>
    </row>
    <row r="506" spans="1:8" x14ac:dyDescent="0.25">
      <c r="A506">
        <v>157034</v>
      </c>
      <c r="B506" t="s">
        <v>1034</v>
      </c>
      <c r="C506" t="s">
        <v>1035</v>
      </c>
      <c r="D506" t="s">
        <v>10</v>
      </c>
      <c r="E506" t="s">
        <v>1036</v>
      </c>
      <c r="F506" t="s">
        <v>23</v>
      </c>
      <c r="G506" t="str">
        <f>HYPERLINK(_xlfn.CONCAT("https://tablet.otzar.org/",CHAR(35),"/exKotar/157034"),"עיונים ומחקרים - 2 כרכים")</f>
        <v>עיונים ומחקרים - 2 כרכים</v>
      </c>
      <c r="H506" t="str">
        <f>_xlfn.CONCAT("https://tablet.otzar.org/",CHAR(35),"/exKotar/157034")</f>
        <v>https://tablet.otzar.org/#/exKotar/157034</v>
      </c>
    </row>
    <row r="507" spans="1:8" x14ac:dyDescent="0.25">
      <c r="A507">
        <v>194449</v>
      </c>
      <c r="B507" t="s">
        <v>1037</v>
      </c>
      <c r="C507" t="s">
        <v>1038</v>
      </c>
      <c r="D507" t="s">
        <v>10</v>
      </c>
      <c r="E507" t="s">
        <v>65</v>
      </c>
      <c r="F507" t="s">
        <v>85</v>
      </c>
      <c r="G507" t="str">
        <f>HYPERLINK(_xlfn.CONCAT("https://tablet.otzar.org/",CHAR(35),"/book/194449/p/-1/t/1/fs/0/start/0/end/0/c"),"עין הדעת")</f>
        <v>עין הדעת</v>
      </c>
      <c r="H507" t="str">
        <f>_xlfn.CONCAT("https://tablet.otzar.org/",CHAR(35),"/book/194449/p/-1/t/1/fs/0/start/0/end/0/c")</f>
        <v>https://tablet.otzar.org/#/book/194449/p/-1/t/1/fs/0/start/0/end/0/c</v>
      </c>
    </row>
    <row r="508" spans="1:8" x14ac:dyDescent="0.25">
      <c r="A508">
        <v>647303</v>
      </c>
      <c r="B508" t="s">
        <v>1039</v>
      </c>
      <c r="C508" t="s">
        <v>1040</v>
      </c>
      <c r="D508" t="s">
        <v>10</v>
      </c>
      <c r="E508" t="s">
        <v>116</v>
      </c>
      <c r="F508" t="s">
        <v>19</v>
      </c>
      <c r="G508" t="str">
        <f>HYPERLINK(_xlfn.CONCAT("https://tablet.otzar.org/",CHAR(35),"/book/647303/p/-1/t/1/fs/0/start/0/end/0/c"),"עיניך בשדה")</f>
        <v>עיניך בשדה</v>
      </c>
      <c r="H508" t="str">
        <f>_xlfn.CONCAT("https://tablet.otzar.org/",CHAR(35),"/book/647303/p/-1/t/1/fs/0/start/0/end/0/c")</f>
        <v>https://tablet.otzar.org/#/book/647303/p/-1/t/1/fs/0/start/0/end/0/c</v>
      </c>
    </row>
    <row r="509" spans="1:8" x14ac:dyDescent="0.25">
      <c r="A509">
        <v>156306</v>
      </c>
      <c r="B509" t="s">
        <v>1041</v>
      </c>
      <c r="C509" t="s">
        <v>1042</v>
      </c>
      <c r="D509" t="s">
        <v>10</v>
      </c>
      <c r="E509" t="s">
        <v>52</v>
      </c>
      <c r="F509" t="s">
        <v>23</v>
      </c>
      <c r="G509" t="str">
        <f>HYPERLINK(_xlfn.CONCAT("https://tablet.otzar.org/",CHAR(35),"/book/156306/p/-1/t/1/fs/0/start/0/end/0/c"),"על המצפה")</f>
        <v>על המצפה</v>
      </c>
      <c r="H509" t="str">
        <f>_xlfn.CONCAT("https://tablet.otzar.org/",CHAR(35),"/book/156306/p/-1/t/1/fs/0/start/0/end/0/c")</f>
        <v>https://tablet.otzar.org/#/book/156306/p/-1/t/1/fs/0/start/0/end/0/c</v>
      </c>
    </row>
    <row r="510" spans="1:8" x14ac:dyDescent="0.25">
      <c r="A510">
        <v>606730</v>
      </c>
      <c r="B510" t="s">
        <v>1043</v>
      </c>
      <c r="C510" t="s">
        <v>1044</v>
      </c>
      <c r="D510" t="s">
        <v>10</v>
      </c>
      <c r="E510" t="s">
        <v>100</v>
      </c>
      <c r="F510" t="s">
        <v>55</v>
      </c>
      <c r="G510" t="str">
        <f>HYPERLINK(_xlfn.CONCAT("https://tablet.otzar.org/",CHAR(35),"/book/606730/p/-1/t/1/fs/0/start/0/end/0/c"),"על התפילה")</f>
        <v>על התפילה</v>
      </c>
      <c r="H510" t="str">
        <f>_xlfn.CONCAT("https://tablet.otzar.org/",CHAR(35),"/book/606730/p/-1/t/1/fs/0/start/0/end/0/c")</f>
        <v>https://tablet.otzar.org/#/book/606730/p/-1/t/1/fs/0/start/0/end/0/c</v>
      </c>
    </row>
    <row r="511" spans="1:8" x14ac:dyDescent="0.25">
      <c r="A511">
        <v>155528</v>
      </c>
      <c r="B511" t="s">
        <v>1045</v>
      </c>
      <c r="C511" t="s">
        <v>1046</v>
      </c>
      <c r="D511" t="s">
        <v>10</v>
      </c>
      <c r="E511" t="s">
        <v>727</v>
      </c>
      <c r="F511" t="s">
        <v>241</v>
      </c>
      <c r="G511" t="str">
        <f>HYPERLINK(_xlfn.CONCAT("https://tablet.otzar.org/",CHAR(35),"/book/155528/p/-1/t/1/fs/0/start/0/end/0/c"),"על חסידות וחסידים")</f>
        <v>על חסידות וחסידים</v>
      </c>
      <c r="H511" t="str">
        <f>_xlfn.CONCAT("https://tablet.otzar.org/",CHAR(35),"/book/155528/p/-1/t/1/fs/0/start/0/end/0/c")</f>
        <v>https://tablet.otzar.org/#/book/155528/p/-1/t/1/fs/0/start/0/end/0/c</v>
      </c>
    </row>
    <row r="512" spans="1:8" x14ac:dyDescent="0.25">
      <c r="A512">
        <v>155586</v>
      </c>
      <c r="B512" t="s">
        <v>1047</v>
      </c>
      <c r="C512" t="s">
        <v>1048</v>
      </c>
      <c r="D512" t="s">
        <v>10</v>
      </c>
      <c r="E512" t="s">
        <v>636</v>
      </c>
      <c r="F512" t="s">
        <v>23</v>
      </c>
      <c r="G512" t="str">
        <f>HYPERLINK(_xlfn.CONCAT("https://tablet.otzar.org/",CHAR(35),"/book/155586/p/-1/t/1/fs/0/start/0/end/0/c"),"על משמר היהדות")</f>
        <v>על משמר היהדות</v>
      </c>
      <c r="H512" t="str">
        <f>_xlfn.CONCAT("https://tablet.otzar.org/",CHAR(35),"/book/155586/p/-1/t/1/fs/0/start/0/end/0/c")</f>
        <v>https://tablet.otzar.org/#/book/155586/p/-1/t/1/fs/0/start/0/end/0/c</v>
      </c>
    </row>
    <row r="513" spans="1:8" x14ac:dyDescent="0.25">
      <c r="A513">
        <v>627504</v>
      </c>
      <c r="B513" t="s">
        <v>1049</v>
      </c>
      <c r="C513" t="s">
        <v>1050</v>
      </c>
      <c r="D513" t="s">
        <v>10</v>
      </c>
      <c r="E513" t="s">
        <v>116</v>
      </c>
      <c r="F513" t="s">
        <v>135</v>
      </c>
      <c r="G513" t="str">
        <f>HYPERLINK(_xlfn.CONCAT("https://tablet.otzar.org/",CHAR(35),"/book/627504/p/-1/t/1/fs/0/start/0/end/0/c"),"עלי אור - מו""""ק, חול המועד, הלכות שמחות")</f>
        <v>עלי אור - מו""ק, חול המועד, הלכות שמחות</v>
      </c>
      <c r="H513" t="str">
        <f>_xlfn.CONCAT("https://tablet.otzar.org/",CHAR(35),"/book/627504/p/-1/t/1/fs/0/start/0/end/0/c")</f>
        <v>https://tablet.otzar.org/#/book/627504/p/-1/t/1/fs/0/start/0/end/0/c</v>
      </c>
    </row>
    <row r="514" spans="1:8" x14ac:dyDescent="0.25">
      <c r="A514">
        <v>687938</v>
      </c>
      <c r="B514" t="s">
        <v>1049</v>
      </c>
      <c r="C514" t="s">
        <v>1050</v>
      </c>
      <c r="D514" t="s">
        <v>10</v>
      </c>
      <c r="E514" t="s">
        <v>116</v>
      </c>
      <c r="F514" t="s">
        <v>135</v>
      </c>
      <c r="G514" t="str">
        <f>HYPERLINK(_xlfn.CONCAT("https://tablet.otzar.org/",CHAR(35),"/book/687938/p/-1/t/1/fs/0/start/0/end/0/c"),"עלי אור - מו""""ק, חול המועד, הלכות שמחות")</f>
        <v>עלי אור - מו""ק, חול המועד, הלכות שמחות</v>
      </c>
      <c r="H514" t="str">
        <f>_xlfn.CONCAT("https://tablet.otzar.org/",CHAR(35),"/book/687938/p/-1/t/1/fs/0/start/0/end/0/c")</f>
        <v>https://tablet.otzar.org/#/book/687938/p/-1/t/1/fs/0/start/0/end/0/c</v>
      </c>
    </row>
    <row r="515" spans="1:8" x14ac:dyDescent="0.25">
      <c r="A515">
        <v>156284</v>
      </c>
      <c r="B515" t="s">
        <v>1051</v>
      </c>
      <c r="C515" t="s">
        <v>321</v>
      </c>
      <c r="D515" t="s">
        <v>10</v>
      </c>
      <c r="E515" t="s">
        <v>11</v>
      </c>
      <c r="F515" t="s">
        <v>23</v>
      </c>
      <c r="G515" t="str">
        <f>HYPERLINK(_xlfn.CONCAT("https://tablet.otzar.org/",CHAR(35),"/book/156284/p/-1/t/1/fs/0/start/0/end/0/c"),"עלי שיח")</f>
        <v>עלי שיח</v>
      </c>
      <c r="H515" t="str">
        <f>_xlfn.CONCAT("https://tablet.otzar.org/",CHAR(35),"/book/156284/p/-1/t/1/fs/0/start/0/end/0/c")</f>
        <v>https://tablet.otzar.org/#/book/156284/p/-1/t/1/fs/0/start/0/end/0/c</v>
      </c>
    </row>
    <row r="516" spans="1:8" x14ac:dyDescent="0.25">
      <c r="A516">
        <v>156326</v>
      </c>
      <c r="B516" t="s">
        <v>1052</v>
      </c>
      <c r="C516" t="s">
        <v>468</v>
      </c>
      <c r="D516" t="s">
        <v>10</v>
      </c>
      <c r="E516" t="s">
        <v>130</v>
      </c>
      <c r="F516" t="s">
        <v>1053</v>
      </c>
      <c r="G516" t="str">
        <f>HYPERLINK(_xlfn.CONCAT("https://tablet.otzar.org/",CHAR(35),"/book/156326/p/-1/t/1/fs/0/start/0/end/0/c"),"עם הארץ הגלילי")</f>
        <v>עם הארץ הגלילי</v>
      </c>
      <c r="H516" t="str">
        <f>_xlfn.CONCAT("https://tablet.otzar.org/",CHAR(35),"/book/156326/p/-1/t/1/fs/0/start/0/end/0/c")</f>
        <v>https://tablet.otzar.org/#/book/156326/p/-1/t/1/fs/0/start/0/end/0/c</v>
      </c>
    </row>
    <row r="517" spans="1:8" x14ac:dyDescent="0.25">
      <c r="A517">
        <v>156229</v>
      </c>
      <c r="B517" t="s">
        <v>1054</v>
      </c>
      <c r="C517" t="s">
        <v>246</v>
      </c>
      <c r="D517" t="s">
        <v>10</v>
      </c>
      <c r="E517" t="s">
        <v>1055</v>
      </c>
      <c r="F517" t="s">
        <v>29</v>
      </c>
      <c r="G517" t="str">
        <f>HYPERLINK(_xlfn.CONCAT("https://tablet.otzar.org/",CHAR(35),"/book/156229/p/-1/t/1/fs/0/start/0/end/0/c"),"עניינות בספרות הגאונים")</f>
        <v>עניינות בספרות הגאונים</v>
      </c>
      <c r="H517" t="str">
        <f>_xlfn.CONCAT("https://tablet.otzar.org/",CHAR(35),"/book/156229/p/-1/t/1/fs/0/start/0/end/0/c")</f>
        <v>https://tablet.otzar.org/#/book/156229/p/-1/t/1/fs/0/start/0/end/0/c</v>
      </c>
    </row>
    <row r="518" spans="1:8" x14ac:dyDescent="0.25">
      <c r="A518">
        <v>157042</v>
      </c>
      <c r="B518" t="s">
        <v>1056</v>
      </c>
      <c r="C518" t="s">
        <v>275</v>
      </c>
      <c r="D518" t="s">
        <v>10</v>
      </c>
      <c r="E518" t="s">
        <v>126</v>
      </c>
      <c r="F518" t="s">
        <v>19</v>
      </c>
      <c r="G518" t="str">
        <f>HYPERLINK(_xlfn.CONCAT("https://tablet.otzar.org/",CHAR(35),"/book/157042/p/-1/t/1/fs/0/start/0/end/0/c"),"ענייני אבן עזרא")</f>
        <v>ענייני אבן עזרא</v>
      </c>
      <c r="H518" t="str">
        <f>_xlfn.CONCAT("https://tablet.otzar.org/",CHAR(35),"/book/157042/p/-1/t/1/fs/0/start/0/end/0/c")</f>
        <v>https://tablet.otzar.org/#/book/157042/p/-1/t/1/fs/0/start/0/end/0/c</v>
      </c>
    </row>
    <row r="519" spans="1:8" x14ac:dyDescent="0.25">
      <c r="A519">
        <v>154975</v>
      </c>
      <c r="B519" t="s">
        <v>1057</v>
      </c>
      <c r="C519" t="s">
        <v>21</v>
      </c>
      <c r="D519" t="s">
        <v>10</v>
      </c>
      <c r="E519" t="s">
        <v>80</v>
      </c>
      <c r="F519" t="s">
        <v>101</v>
      </c>
      <c r="G519" t="str">
        <f>HYPERLINK(_xlfn.CONCAT("https://tablet.otzar.org/",CHAR(35),"/book/154975/p/-1/t/1/fs/0/start/0/end/0/c"),"עץ הדר")</f>
        <v>עץ הדר</v>
      </c>
      <c r="H519" t="str">
        <f>_xlfn.CONCAT("https://tablet.otzar.org/",CHAR(35),"/book/154975/p/-1/t/1/fs/0/start/0/end/0/c")</f>
        <v>https://tablet.otzar.org/#/book/154975/p/-1/t/1/fs/0/start/0/end/0/c</v>
      </c>
    </row>
    <row r="520" spans="1:8" x14ac:dyDescent="0.25">
      <c r="A520">
        <v>157025</v>
      </c>
      <c r="B520" t="s">
        <v>1058</v>
      </c>
      <c r="C520" t="s">
        <v>1059</v>
      </c>
      <c r="D520" t="s">
        <v>10</v>
      </c>
      <c r="E520" t="s">
        <v>244</v>
      </c>
      <c r="F520" t="s">
        <v>85</v>
      </c>
      <c r="G520" t="str">
        <f>HYPERLINK(_xlfn.CONCAT("https://tablet.otzar.org/",CHAR(35),"/exKotar/157025"),"עץ חיים - 3 כרכים")</f>
        <v>עץ חיים - 3 כרכים</v>
      </c>
      <c r="H520" t="str">
        <f>_xlfn.CONCAT("https://tablet.otzar.org/",CHAR(35),"/exKotar/157025")</f>
        <v>https://tablet.otzar.org/#/exKotar/157025</v>
      </c>
    </row>
    <row r="521" spans="1:8" x14ac:dyDescent="0.25">
      <c r="A521">
        <v>155076</v>
      </c>
      <c r="B521" t="s">
        <v>1060</v>
      </c>
      <c r="C521" t="s">
        <v>1061</v>
      </c>
      <c r="D521" t="s">
        <v>10</v>
      </c>
      <c r="E521" t="s">
        <v>84</v>
      </c>
      <c r="F521" t="s">
        <v>85</v>
      </c>
      <c r="G521" t="str">
        <f>HYPERLINK(_xlfn.CONCAT("https://tablet.otzar.org/",CHAR(35),"/exKotar/155076"),"ערוך השלחן העתיד - 8 כרכים")</f>
        <v>ערוך השלחן העתיד - 8 כרכים</v>
      </c>
      <c r="H521" t="str">
        <f>_xlfn.CONCAT("https://tablet.otzar.org/",CHAR(35),"/exKotar/155076")</f>
        <v>https://tablet.otzar.org/#/exKotar/155076</v>
      </c>
    </row>
    <row r="522" spans="1:8" x14ac:dyDescent="0.25">
      <c r="A522">
        <v>156289</v>
      </c>
      <c r="B522" t="s">
        <v>1062</v>
      </c>
      <c r="C522" t="s">
        <v>1063</v>
      </c>
      <c r="D522" t="s">
        <v>10</v>
      </c>
      <c r="E522" t="s">
        <v>109</v>
      </c>
      <c r="F522" t="s">
        <v>23</v>
      </c>
      <c r="G522" t="str">
        <f>HYPERLINK(_xlfn.CONCAT("https://tablet.otzar.org/",CHAR(35),"/book/156289/p/-1/t/1/fs/0/start/0/end/0/c"),"ערפל בעמק הברכה")</f>
        <v>ערפל בעמק הברכה</v>
      </c>
      <c r="H522" t="str">
        <f>_xlfn.CONCAT("https://tablet.otzar.org/",CHAR(35),"/book/156289/p/-1/t/1/fs/0/start/0/end/0/c")</f>
        <v>https://tablet.otzar.org/#/book/156289/p/-1/t/1/fs/0/start/0/end/0/c</v>
      </c>
    </row>
    <row r="523" spans="1:8" x14ac:dyDescent="0.25">
      <c r="A523">
        <v>155218</v>
      </c>
      <c r="B523" t="s">
        <v>1064</v>
      </c>
      <c r="C523" t="s">
        <v>1065</v>
      </c>
      <c r="D523" t="s">
        <v>10</v>
      </c>
      <c r="E523" t="s">
        <v>447</v>
      </c>
      <c r="F523" t="s">
        <v>1066</v>
      </c>
      <c r="G523" t="str">
        <f>HYPERLINK(_xlfn.CONCAT("https://tablet.otzar.org/",CHAR(35),"/book/155218/p/-1/t/1/fs/0/start/0/end/0/c"),"עשרת הרוגי מלכות במדרש ובפיוט")</f>
        <v>עשרת הרוגי מלכות במדרש ובפיוט</v>
      </c>
      <c r="H523" t="str">
        <f>_xlfn.CONCAT("https://tablet.otzar.org/",CHAR(35),"/book/155218/p/-1/t/1/fs/0/start/0/end/0/c")</f>
        <v>https://tablet.otzar.org/#/book/155218/p/-1/t/1/fs/0/start/0/end/0/c</v>
      </c>
    </row>
    <row r="524" spans="1:8" x14ac:dyDescent="0.25">
      <c r="A524">
        <v>155525</v>
      </c>
      <c r="B524" t="s">
        <v>1067</v>
      </c>
      <c r="C524" t="s">
        <v>1065</v>
      </c>
      <c r="D524" t="s">
        <v>10</v>
      </c>
      <c r="E524" t="s">
        <v>46</v>
      </c>
      <c r="F524" t="s">
        <v>23</v>
      </c>
      <c r="G524" t="str">
        <f>HYPERLINK(_xlfn.CONCAT("https://tablet.otzar.org/",CHAR(35),"/book/155525/p/-1/t/1/fs/0/start/0/end/0/c"),"עשרת השבטים")</f>
        <v>עשרת השבטים</v>
      </c>
      <c r="H524" t="str">
        <f>_xlfn.CONCAT("https://tablet.otzar.org/",CHAR(35),"/book/155525/p/-1/t/1/fs/0/start/0/end/0/c")</f>
        <v>https://tablet.otzar.org/#/book/155525/p/-1/t/1/fs/0/start/0/end/0/c</v>
      </c>
    </row>
    <row r="525" spans="1:8" x14ac:dyDescent="0.25">
      <c r="A525">
        <v>156376</v>
      </c>
      <c r="B525" t="s">
        <v>1068</v>
      </c>
      <c r="C525" t="s">
        <v>1069</v>
      </c>
      <c r="D525" t="s">
        <v>10</v>
      </c>
      <c r="E525" t="s">
        <v>244</v>
      </c>
      <c r="F525" t="s">
        <v>684</v>
      </c>
      <c r="G525" t="str">
        <f>HYPERLINK(_xlfn.CONCAT("https://tablet.otzar.org/",CHAR(35),"/exKotar/156376"),"פחד יצחק &lt;מוה""""ק&gt;  - 5 כרכים")</f>
        <v>פחד יצחק &lt;מוה""ק&gt;  - 5 כרכים</v>
      </c>
      <c r="H525" t="str">
        <f>_xlfn.CONCAT("https://tablet.otzar.org/",CHAR(35),"/exKotar/156376")</f>
        <v>https://tablet.otzar.org/#/exKotar/156376</v>
      </c>
    </row>
    <row r="526" spans="1:8" x14ac:dyDescent="0.25">
      <c r="A526">
        <v>158429</v>
      </c>
      <c r="B526" t="s">
        <v>1070</v>
      </c>
      <c r="C526" t="s">
        <v>1071</v>
      </c>
      <c r="D526" t="s">
        <v>10</v>
      </c>
      <c r="E526" t="s">
        <v>120</v>
      </c>
      <c r="F526" t="s">
        <v>23</v>
      </c>
      <c r="G526" t="str">
        <f>HYPERLINK(_xlfn.CONCAT("https://tablet.otzar.org/",CHAR(35),"/exKotar/158429"),"פילון - 2 כרכים")</f>
        <v>פילון - 2 כרכים</v>
      </c>
      <c r="H526" t="str">
        <f>_xlfn.CONCAT("https://tablet.otzar.org/",CHAR(35),"/exKotar/158429")</f>
        <v>https://tablet.otzar.org/#/exKotar/158429</v>
      </c>
    </row>
    <row r="527" spans="1:8" x14ac:dyDescent="0.25">
      <c r="A527">
        <v>647362</v>
      </c>
      <c r="B527" t="s">
        <v>1072</v>
      </c>
      <c r="C527" t="s">
        <v>441</v>
      </c>
      <c r="D527" t="s">
        <v>10</v>
      </c>
      <c r="E527" t="s">
        <v>49</v>
      </c>
      <c r="F527" t="s">
        <v>809</v>
      </c>
      <c r="G527" t="str">
        <f>HYPERLINK(_xlfn.CONCAT("https://tablet.otzar.org/",CHAR(35),"/book/647362/p/-1/t/1/fs/0/start/0/end/0/c"),"פירוש המשנה למסכת שוטה &lt;מהדורת מוה""""ק&gt;")</f>
        <v>פירוש המשנה למסכת שוטה &lt;מהדורת מוה""ק&gt;</v>
      </c>
      <c r="H527" t="str">
        <f>_xlfn.CONCAT("https://tablet.otzar.org/",CHAR(35),"/book/647362/p/-1/t/1/fs/0/start/0/end/0/c")</f>
        <v>https://tablet.otzar.org/#/book/647362/p/-1/t/1/fs/0/start/0/end/0/c</v>
      </c>
    </row>
    <row r="528" spans="1:8" x14ac:dyDescent="0.25">
      <c r="A528">
        <v>158455</v>
      </c>
      <c r="B528" t="s">
        <v>1073</v>
      </c>
      <c r="C528" t="s">
        <v>1074</v>
      </c>
      <c r="D528" t="s">
        <v>10</v>
      </c>
      <c r="E528" t="s">
        <v>87</v>
      </c>
      <c r="F528" t="s">
        <v>218</v>
      </c>
      <c r="G528" t="str">
        <f>HYPERLINK(_xlfn.CONCAT("https://tablet.otzar.org/",CHAR(35),"/book/158455/p/-1/t/1/fs/0/start/0/end/0/c"),"פירוש הר""""ח מסכת בבא מציעא")</f>
        <v>פירוש הר""ח מסכת בבא מציעא</v>
      </c>
      <c r="H528" t="str">
        <f>_xlfn.CONCAT("https://tablet.otzar.org/",CHAR(35),"/book/158455/p/-1/t/1/fs/0/start/0/end/0/c")</f>
        <v>https://tablet.otzar.org/#/book/158455/p/-1/t/1/fs/0/start/0/end/0/c</v>
      </c>
    </row>
    <row r="529" spans="1:8" x14ac:dyDescent="0.25">
      <c r="A529">
        <v>156322</v>
      </c>
      <c r="B529" t="s">
        <v>1075</v>
      </c>
      <c r="C529" t="s">
        <v>1076</v>
      </c>
      <c r="D529" t="s">
        <v>10</v>
      </c>
      <c r="E529" t="s">
        <v>25</v>
      </c>
      <c r="F529" t="s">
        <v>19</v>
      </c>
      <c r="G529" t="str">
        <f>HYPERLINK(_xlfn.CONCAT("https://tablet.otzar.org/",CHAR(35),"/book/156322/p/-1/t/1/fs/0/start/0/end/0/c"),"פירוש התורה לרב שמואל בן חפני גאון")</f>
        <v>פירוש התורה לרב שמואל בן חפני גאון</v>
      </c>
      <c r="H529" t="str">
        <f>_xlfn.CONCAT("https://tablet.otzar.org/",CHAR(35),"/book/156322/p/-1/t/1/fs/0/start/0/end/0/c")</f>
        <v>https://tablet.otzar.org/#/book/156322/p/-1/t/1/fs/0/start/0/end/0/c</v>
      </c>
    </row>
    <row r="530" spans="1:8" x14ac:dyDescent="0.25">
      <c r="A530">
        <v>601566</v>
      </c>
      <c r="B530" t="s">
        <v>1077</v>
      </c>
      <c r="C530" t="s">
        <v>1078</v>
      </c>
      <c r="D530" t="s">
        <v>10</v>
      </c>
      <c r="E530" t="s">
        <v>187</v>
      </c>
      <c r="F530" t="s">
        <v>19</v>
      </c>
      <c r="G530" t="str">
        <f>HYPERLINK(_xlfn.CONCAT("https://tablet.otzar.org/",CHAR(35),"/book/601566/p/-1/t/1/fs/0/start/0/end/0/c"),"פירוש לתהלים לרבנו יוסף חיון")</f>
        <v>פירוש לתהלים לרבנו יוסף חיון</v>
      </c>
      <c r="H530" t="str">
        <f>_xlfn.CONCAT("https://tablet.otzar.org/",CHAR(35),"/book/601566/p/-1/t/1/fs/0/start/0/end/0/c")</f>
        <v>https://tablet.otzar.org/#/book/601566/p/-1/t/1/fs/0/start/0/end/0/c</v>
      </c>
    </row>
    <row r="531" spans="1:8" x14ac:dyDescent="0.25">
      <c r="A531">
        <v>155131</v>
      </c>
      <c r="B531" t="s">
        <v>1079</v>
      </c>
      <c r="C531" t="s">
        <v>17</v>
      </c>
      <c r="D531" t="s">
        <v>10</v>
      </c>
      <c r="E531" t="s">
        <v>58</v>
      </c>
      <c r="F531" t="s">
        <v>838</v>
      </c>
      <c r="G531" t="str">
        <f>HYPERLINK(_xlfn.CONCAT("https://tablet.otzar.org/",CHAR(35),"/book/155131/p/-1/t/1/fs/0/start/0/end/0/c"),"פירוש ספר יצירה אלמוני מיסודו של רבי אברהם אבולעפיא")</f>
        <v>פירוש ספר יצירה אלמוני מיסודו של רבי אברהם אבולעפיא</v>
      </c>
      <c r="H531" t="str">
        <f>_xlfn.CONCAT("https://tablet.otzar.org/",CHAR(35),"/book/155131/p/-1/t/1/fs/0/start/0/end/0/c")</f>
        <v>https://tablet.otzar.org/#/book/155131/p/-1/t/1/fs/0/start/0/end/0/c</v>
      </c>
    </row>
    <row r="532" spans="1:8" x14ac:dyDescent="0.25">
      <c r="A532">
        <v>157021</v>
      </c>
      <c r="B532" t="s">
        <v>1080</v>
      </c>
      <c r="C532" t="s">
        <v>1081</v>
      </c>
      <c r="D532" t="s">
        <v>10</v>
      </c>
      <c r="E532" t="s">
        <v>204</v>
      </c>
      <c r="F532" t="s">
        <v>218</v>
      </c>
      <c r="G532" t="str">
        <f>HYPERLINK(_xlfn.CONCAT("https://tablet.otzar.org/",CHAR(35),"/book/157021/p/-1/t/1/fs/0/start/0/end/0/c"),"פירוש על הרי""""ף")</f>
        <v>פירוש על הרי""ף</v>
      </c>
      <c r="H532" t="str">
        <f>_xlfn.CONCAT("https://tablet.otzar.org/",CHAR(35),"/book/157021/p/-1/t/1/fs/0/start/0/end/0/c")</f>
        <v>https://tablet.otzar.org/#/book/157021/p/-1/t/1/fs/0/start/0/end/0/c</v>
      </c>
    </row>
    <row r="533" spans="1:8" x14ac:dyDescent="0.25">
      <c r="A533">
        <v>157379</v>
      </c>
      <c r="B533" t="s">
        <v>1082</v>
      </c>
      <c r="C533" t="s">
        <v>1083</v>
      </c>
      <c r="D533" t="s">
        <v>10</v>
      </c>
      <c r="E533" t="s">
        <v>383</v>
      </c>
      <c r="F533" t="s">
        <v>19</v>
      </c>
      <c r="G533" t="str">
        <f>HYPERLINK(_xlfn.CONCAT("https://tablet.otzar.org/",CHAR(35),"/book/157379/p/-1/t/1/fs/0/start/0/end/0/c"),"פירוש רבי יוסף קרא לספר איוב")</f>
        <v>פירוש רבי יוסף קרא לספר איוב</v>
      </c>
      <c r="H533" t="str">
        <f>_xlfn.CONCAT("https://tablet.otzar.org/",CHAR(35),"/book/157379/p/-1/t/1/fs/0/start/0/end/0/c")</f>
        <v>https://tablet.otzar.org/#/book/157379/p/-1/t/1/fs/0/start/0/end/0/c</v>
      </c>
    </row>
    <row r="534" spans="1:8" x14ac:dyDescent="0.25">
      <c r="A534">
        <v>155363</v>
      </c>
      <c r="B534" t="s">
        <v>1084</v>
      </c>
      <c r="C534" t="s">
        <v>1085</v>
      </c>
      <c r="D534" t="s">
        <v>10</v>
      </c>
      <c r="E534" t="s">
        <v>46</v>
      </c>
      <c r="F534" t="s">
        <v>218</v>
      </c>
      <c r="G534" t="str">
        <f>HYPERLINK(_xlfn.CONCAT("https://tablet.otzar.org/",CHAR(35),"/book/155363/p/-1/t/1/fs/0/start/0/end/0/c"),"פירוש רבינו חננאל - סוטה")</f>
        <v>פירוש רבינו חננאל - סוטה</v>
      </c>
      <c r="H534" t="str">
        <f>_xlfn.CONCAT("https://tablet.otzar.org/",CHAR(35),"/book/155363/p/-1/t/1/fs/0/start/0/end/0/c")</f>
        <v>https://tablet.otzar.org/#/book/155363/p/-1/t/1/fs/0/start/0/end/0/c</v>
      </c>
    </row>
    <row r="535" spans="1:8" x14ac:dyDescent="0.25">
      <c r="A535">
        <v>174437</v>
      </c>
      <c r="B535" t="s">
        <v>1086</v>
      </c>
      <c r="C535" t="s">
        <v>1074</v>
      </c>
      <c r="D535" t="s">
        <v>10</v>
      </c>
      <c r="E535" t="s">
        <v>72</v>
      </c>
      <c r="F535" t="s">
        <v>218</v>
      </c>
      <c r="G535" t="str">
        <f>HYPERLINK(_xlfn.CONCAT("https://tablet.otzar.org/",CHAR(35),"/exKotar/174437"),"פירוש רבינו חננאל - 2 כרכים")</f>
        <v>פירוש רבינו חננאל - 2 כרכים</v>
      </c>
      <c r="H535" t="str">
        <f>_xlfn.CONCAT("https://tablet.otzar.org/",CHAR(35),"/exKotar/174437")</f>
        <v>https://tablet.otzar.org/#/exKotar/174437</v>
      </c>
    </row>
    <row r="536" spans="1:8" x14ac:dyDescent="0.25">
      <c r="A536">
        <v>156215</v>
      </c>
      <c r="B536" t="s">
        <v>1087</v>
      </c>
      <c r="C536" t="s">
        <v>1088</v>
      </c>
      <c r="D536" t="s">
        <v>10</v>
      </c>
      <c r="E536" t="s">
        <v>18</v>
      </c>
      <c r="F536" t="s">
        <v>19</v>
      </c>
      <c r="G536" t="str">
        <f>HYPERLINK(_xlfn.CONCAT("https://tablet.otzar.org/",CHAR(35),"/exKotar/156215"),"פירוש רבינו מיוחס - 2 כרכים")</f>
        <v>פירוש רבינו מיוחס - 2 כרכים</v>
      </c>
      <c r="H536" t="str">
        <f>_xlfn.CONCAT("https://tablet.otzar.org/",CHAR(35),"/exKotar/156215")</f>
        <v>https://tablet.otzar.org/#/exKotar/156215</v>
      </c>
    </row>
    <row r="537" spans="1:8" x14ac:dyDescent="0.25">
      <c r="A537">
        <v>156276</v>
      </c>
      <c r="B537" t="s">
        <v>1089</v>
      </c>
      <c r="C537" t="s">
        <v>1090</v>
      </c>
      <c r="D537" t="s">
        <v>10</v>
      </c>
      <c r="E537" t="s">
        <v>80</v>
      </c>
      <c r="F537" t="s">
        <v>218</v>
      </c>
      <c r="G537" t="str">
        <f>HYPERLINK(_xlfn.CONCAT("https://tablet.otzar.org/",CHAR(35),"/book/156276/p/-1/t/1/fs/0/start/0/end/0/c"),"פירוש רשב""""ם הקצר לפרק חזקת הבתים")</f>
        <v>פירוש רשב""ם הקצר לפרק חזקת הבתים</v>
      </c>
      <c r="H537" t="str">
        <f>_xlfn.CONCAT("https://tablet.otzar.org/",CHAR(35),"/book/156276/p/-1/t/1/fs/0/start/0/end/0/c")</f>
        <v>https://tablet.otzar.org/#/book/156276/p/-1/t/1/fs/0/start/0/end/0/c</v>
      </c>
    </row>
    <row r="538" spans="1:8" x14ac:dyDescent="0.25">
      <c r="A538">
        <v>155120</v>
      </c>
      <c r="B538" t="s">
        <v>1091</v>
      </c>
      <c r="C538" t="s">
        <v>1092</v>
      </c>
      <c r="D538" t="s">
        <v>10</v>
      </c>
      <c r="E538" t="s">
        <v>347</v>
      </c>
      <c r="F538" t="s">
        <v>262</v>
      </c>
      <c r="G538" t="str">
        <f>HYPERLINK(_xlfn.CONCAT("https://tablet.otzar.org/",CHAR(35),"/exKotar/155120"),"פירושי גאוני ליטא - 2 כרכים")</f>
        <v>פירושי גאוני ליטא - 2 כרכים</v>
      </c>
      <c r="H538" t="str">
        <f>_xlfn.CONCAT("https://tablet.otzar.org/",CHAR(35),"/exKotar/155120")</f>
        <v>https://tablet.otzar.org/#/exKotar/155120</v>
      </c>
    </row>
    <row r="539" spans="1:8" x14ac:dyDescent="0.25">
      <c r="A539">
        <v>155560</v>
      </c>
      <c r="B539" t="s">
        <v>1093</v>
      </c>
      <c r="C539" t="s">
        <v>1044</v>
      </c>
      <c r="D539" t="s">
        <v>10</v>
      </c>
      <c r="E539" t="s">
        <v>622</v>
      </c>
      <c r="F539" t="s">
        <v>19</v>
      </c>
      <c r="G539" t="str">
        <f>HYPERLINK(_xlfn.CONCAT("https://tablet.otzar.org/",CHAR(35),"/exKotar/155560"),"פירושי הרב דוד צבי הופמן - 3 כרכים")</f>
        <v>פירושי הרב דוד צבי הופמן - 3 כרכים</v>
      </c>
      <c r="H539" t="str">
        <f>_xlfn.CONCAT("https://tablet.otzar.org/",CHAR(35),"/exKotar/155560")</f>
        <v>https://tablet.otzar.org/#/exKotar/155560</v>
      </c>
    </row>
    <row r="540" spans="1:8" x14ac:dyDescent="0.25">
      <c r="A540">
        <v>157374</v>
      </c>
      <c r="B540" t="s">
        <v>1094</v>
      </c>
      <c r="C540" t="s">
        <v>1095</v>
      </c>
      <c r="D540" t="s">
        <v>10</v>
      </c>
      <c r="E540" t="s">
        <v>84</v>
      </c>
      <c r="F540" t="s">
        <v>411</v>
      </c>
      <c r="G540" t="str">
        <f>HYPERLINK(_xlfn.CONCAT("https://tablet.otzar.org/",CHAR(35),"/exKotar/157374"),"פירושי הרמב""""ן לירושלמי - 6 כרכים")</f>
        <v>פירושי הרמב""ן לירושלמי - 6 כרכים</v>
      </c>
      <c r="H540" t="str">
        <f>_xlfn.CONCAT("https://tablet.otzar.org/",CHAR(35),"/exKotar/157374")</f>
        <v>https://tablet.otzar.org/#/exKotar/157374</v>
      </c>
    </row>
    <row r="541" spans="1:8" x14ac:dyDescent="0.25">
      <c r="A541">
        <v>14464</v>
      </c>
      <c r="B541" t="s">
        <v>1096</v>
      </c>
      <c r="C541" t="s">
        <v>1097</v>
      </c>
      <c r="D541" t="s">
        <v>10</v>
      </c>
      <c r="E541" t="s">
        <v>130</v>
      </c>
      <c r="F541" t="s">
        <v>19</v>
      </c>
      <c r="G541" t="str">
        <f>HYPERLINK(_xlfn.CONCAT("https://tablet.otzar.org/",CHAR(35),"/book/14464/p/-1/t/1/fs/0/start/0/end/0/c"),"פירושי הרמב""""ן על נביאים וכתובים")</f>
        <v>פירושי הרמב""ן על נביאים וכתובים</v>
      </c>
      <c r="H541" t="str">
        <f>_xlfn.CONCAT("https://tablet.otzar.org/",CHAR(35),"/book/14464/p/-1/t/1/fs/0/start/0/end/0/c")</f>
        <v>https://tablet.otzar.org/#/book/14464/p/-1/t/1/fs/0/start/0/end/0/c</v>
      </c>
    </row>
    <row r="542" spans="1:8" x14ac:dyDescent="0.25">
      <c r="A542">
        <v>601547</v>
      </c>
      <c r="B542" t="s">
        <v>1098</v>
      </c>
      <c r="C542" t="s">
        <v>1099</v>
      </c>
      <c r="D542" t="s">
        <v>10</v>
      </c>
      <c r="E542" t="s">
        <v>187</v>
      </c>
      <c r="F542" t="s">
        <v>218</v>
      </c>
      <c r="G542" t="str">
        <f>HYPERLINK(_xlfn.CONCAT("https://tablet.otzar.org/",CHAR(35),"/book/601547/p/-1/t/1/fs/0/start/0/end/0/c"),"פירושי הרנב""""י להלכות נדרים של הרמב""""ן")</f>
        <v>פירושי הרנב""י להלכות נדרים של הרמב""ן</v>
      </c>
      <c r="H542" t="str">
        <f>_xlfn.CONCAT("https://tablet.otzar.org/",CHAR(35),"/book/601547/p/-1/t/1/fs/0/start/0/end/0/c")</f>
        <v>https://tablet.otzar.org/#/book/601547/p/-1/t/1/fs/0/start/0/end/0/c</v>
      </c>
    </row>
    <row r="543" spans="1:8" x14ac:dyDescent="0.25">
      <c r="A543">
        <v>155529</v>
      </c>
      <c r="B543" t="s">
        <v>1100</v>
      </c>
      <c r="C543" t="s">
        <v>1101</v>
      </c>
      <c r="D543" t="s">
        <v>10</v>
      </c>
      <c r="E543" t="s">
        <v>926</v>
      </c>
      <c r="F543" t="s">
        <v>19</v>
      </c>
      <c r="G543" t="str">
        <f>HYPERLINK(_xlfn.CONCAT("https://tablet.otzar.org/",CHAR(35),"/exKotar/155529"),"פירושי התורה לרלב""""ג - 5 כרכים")</f>
        <v>פירושי התורה לרלב""ג - 5 כרכים</v>
      </c>
      <c r="H543" t="str">
        <f>_xlfn.CONCAT("https://tablet.otzar.org/",CHAR(35),"/exKotar/155529")</f>
        <v>https://tablet.otzar.org/#/exKotar/155529</v>
      </c>
    </row>
    <row r="544" spans="1:8" x14ac:dyDescent="0.25">
      <c r="A544">
        <v>155054</v>
      </c>
      <c r="B544" t="s">
        <v>1102</v>
      </c>
      <c r="C544" t="s">
        <v>546</v>
      </c>
      <c r="D544" t="s">
        <v>10</v>
      </c>
      <c r="E544" t="s">
        <v>471</v>
      </c>
      <c r="F544" t="s">
        <v>19</v>
      </c>
      <c r="G544" t="str">
        <f>HYPERLINK(_xlfn.CONCAT("https://tablet.otzar.org/",CHAR(35),"/exKotar/155054"),"פירושי התורה לרמב""""ן &lt;מוה""""ק&gt;  - 2 כרכים")</f>
        <v>פירושי התורה לרמב""ן &lt;מוה""ק&gt;  - 2 כרכים</v>
      </c>
      <c r="H544" t="str">
        <f>_xlfn.CONCAT("https://tablet.otzar.org/",CHAR(35),"/exKotar/155054")</f>
        <v>https://tablet.otzar.org/#/exKotar/155054</v>
      </c>
    </row>
    <row r="545" spans="1:8" x14ac:dyDescent="0.25">
      <c r="A545">
        <v>155200</v>
      </c>
      <c r="B545" t="s">
        <v>1103</v>
      </c>
      <c r="C545" t="s">
        <v>1092</v>
      </c>
      <c r="D545" t="s">
        <v>10</v>
      </c>
      <c r="E545" t="s">
        <v>347</v>
      </c>
      <c r="F545" t="s">
        <v>262</v>
      </c>
      <c r="G545" t="str">
        <f>HYPERLINK(_xlfn.CONCAT("https://tablet.otzar.org/",CHAR(35),"/book/155200/p/-1/t/1/fs/0/start/0/end/0/c"),"פירושי וליקוטי הגר""""א על הגדה של פסח")</f>
        <v>פירושי וליקוטי הגר""א על הגדה של פסח</v>
      </c>
      <c r="H545" t="str">
        <f>_xlfn.CONCAT("https://tablet.otzar.org/",CHAR(35),"/book/155200/p/-1/t/1/fs/0/start/0/end/0/c")</f>
        <v>https://tablet.otzar.org/#/book/155200/p/-1/t/1/fs/0/start/0/end/0/c</v>
      </c>
    </row>
    <row r="546" spans="1:8" x14ac:dyDescent="0.25">
      <c r="A546">
        <v>155126</v>
      </c>
      <c r="B546" t="s">
        <v>1104</v>
      </c>
      <c r="C546" t="s">
        <v>1105</v>
      </c>
      <c r="D546" t="s">
        <v>10</v>
      </c>
      <c r="E546" t="s">
        <v>308</v>
      </c>
      <c r="F546" t="s">
        <v>19</v>
      </c>
      <c r="G546" t="str">
        <f>HYPERLINK(_xlfn.CONCAT("https://tablet.otzar.org/",CHAR(35),"/book/155126/p/-1/t/1/fs/0/start/0/end/0/c"),"פירושי רב סעדיה גאון לספר שמות")</f>
        <v>פירושי רב סעדיה גאון לספר שמות</v>
      </c>
      <c r="H546" t="str">
        <f>_xlfn.CONCAT("https://tablet.otzar.org/",CHAR(35),"/book/155126/p/-1/t/1/fs/0/start/0/end/0/c")</f>
        <v>https://tablet.otzar.org/#/book/155126/p/-1/t/1/fs/0/start/0/end/0/c</v>
      </c>
    </row>
    <row r="547" spans="1:8" x14ac:dyDescent="0.25">
      <c r="A547">
        <v>156213</v>
      </c>
      <c r="B547" t="s">
        <v>1106</v>
      </c>
      <c r="C547" t="s">
        <v>1107</v>
      </c>
      <c r="D547" t="s">
        <v>10</v>
      </c>
      <c r="E547" t="s">
        <v>579</v>
      </c>
      <c r="F547" t="s">
        <v>19</v>
      </c>
      <c r="G547" t="str">
        <f>HYPERLINK(_xlfn.CONCAT("https://tablet.otzar.org/",CHAR(35),"/book/156213/p/-1/t/1/fs/0/start/0/end/0/c"),"פירושי רבי דוד קמחי (רד""""ק) על התורה")</f>
        <v>פירושי רבי דוד קמחי (רד""ק) על התורה</v>
      </c>
      <c r="H547" t="str">
        <f>_xlfn.CONCAT("https://tablet.otzar.org/",CHAR(35),"/book/156213/p/-1/t/1/fs/0/start/0/end/0/c")</f>
        <v>https://tablet.otzar.org/#/book/156213/p/-1/t/1/fs/0/start/0/end/0/c</v>
      </c>
    </row>
    <row r="548" spans="1:8" x14ac:dyDescent="0.25">
      <c r="A548">
        <v>155128</v>
      </c>
      <c r="B548" t="s">
        <v>1108</v>
      </c>
      <c r="C548" t="s">
        <v>1109</v>
      </c>
      <c r="D548" t="s">
        <v>10</v>
      </c>
      <c r="E548" t="s">
        <v>112</v>
      </c>
      <c r="F548" t="s">
        <v>19</v>
      </c>
      <c r="G548" t="str">
        <f>HYPERLINK(_xlfn.CONCAT("https://tablet.otzar.org/",CHAR(35),"/book/155128/p/-1/t/1/fs/0/start/0/end/0/c"),"פירושי רבי יוסף בכור שור על התורה")</f>
        <v>פירושי רבי יוסף בכור שור על התורה</v>
      </c>
      <c r="H548" t="str">
        <f>_xlfn.CONCAT("https://tablet.otzar.org/",CHAR(35),"/book/155128/p/-1/t/1/fs/0/start/0/end/0/c")</f>
        <v>https://tablet.otzar.org/#/book/155128/p/-1/t/1/fs/0/start/0/end/0/c</v>
      </c>
    </row>
    <row r="549" spans="1:8" x14ac:dyDescent="0.25">
      <c r="A549">
        <v>156294</v>
      </c>
      <c r="B549" t="s">
        <v>1110</v>
      </c>
      <c r="C549" t="s">
        <v>1083</v>
      </c>
      <c r="D549" t="s">
        <v>10</v>
      </c>
      <c r="E549" t="s">
        <v>388</v>
      </c>
      <c r="F549" t="s">
        <v>19</v>
      </c>
      <c r="G549" t="str">
        <f>HYPERLINK(_xlfn.CONCAT("https://tablet.otzar.org/",CHAR(35),"/book/156294/p/-1/t/1/fs/0/start/0/end/0/c"),"פירושי רבי יוסף קרא לנביאים ראשונים")</f>
        <v>פירושי רבי יוסף קרא לנביאים ראשונים</v>
      </c>
      <c r="H549" t="str">
        <f>_xlfn.CONCAT("https://tablet.otzar.org/",CHAR(35),"/book/156294/p/-1/t/1/fs/0/start/0/end/0/c")</f>
        <v>https://tablet.otzar.org/#/book/156294/p/-1/t/1/fs/0/start/0/end/0/c</v>
      </c>
    </row>
    <row r="550" spans="1:8" x14ac:dyDescent="0.25">
      <c r="A550">
        <v>156236</v>
      </c>
      <c r="B550" t="s">
        <v>1111</v>
      </c>
      <c r="C550" t="s">
        <v>1112</v>
      </c>
      <c r="D550" t="s">
        <v>10</v>
      </c>
      <c r="E550" t="s">
        <v>408</v>
      </c>
      <c r="F550" t="s">
        <v>1113</v>
      </c>
      <c r="G550" t="str">
        <f>HYPERLINK(_xlfn.CONCAT("https://tablet.otzar.org/",CHAR(35),"/book/156236/p/-1/t/1/fs/0/start/0/end/0/c"),"פירושי רבינו אליהו מלונדריש ופסקיו")</f>
        <v>פירושי רבינו אליהו מלונדריש ופסקיו</v>
      </c>
      <c r="H550" t="str">
        <f>_xlfn.CONCAT("https://tablet.otzar.org/",CHAR(35),"/book/156236/p/-1/t/1/fs/0/start/0/end/0/c")</f>
        <v>https://tablet.otzar.org/#/book/156236/p/-1/t/1/fs/0/start/0/end/0/c</v>
      </c>
    </row>
    <row r="551" spans="1:8" x14ac:dyDescent="0.25">
      <c r="A551">
        <v>14413</v>
      </c>
      <c r="B551" t="s">
        <v>1114</v>
      </c>
      <c r="C551" t="s">
        <v>1074</v>
      </c>
      <c r="D551" t="s">
        <v>10</v>
      </c>
      <c r="E551" t="s">
        <v>36</v>
      </c>
      <c r="F551" t="s">
        <v>19</v>
      </c>
      <c r="G551" t="str">
        <f>HYPERLINK(_xlfn.CONCAT("https://tablet.otzar.org/",CHAR(35),"/book/14413/p/-1/t/1/fs/0/start/0/end/0/c"),"פירושי רבינו חננאל על התורה")</f>
        <v>פירושי רבינו חננאל על התורה</v>
      </c>
      <c r="H551" t="str">
        <f>_xlfn.CONCAT("https://tablet.otzar.org/",CHAR(35),"/book/14413/p/-1/t/1/fs/0/start/0/end/0/c")</f>
        <v>https://tablet.otzar.org/#/book/14413/p/-1/t/1/fs/0/start/0/end/0/c</v>
      </c>
    </row>
    <row r="552" spans="1:8" x14ac:dyDescent="0.25">
      <c r="A552">
        <v>155203</v>
      </c>
      <c r="B552" t="s">
        <v>1115</v>
      </c>
      <c r="C552" t="s">
        <v>824</v>
      </c>
      <c r="D552" t="s">
        <v>10</v>
      </c>
      <c r="E552" t="s">
        <v>58</v>
      </c>
      <c r="F552" t="s">
        <v>19</v>
      </c>
      <c r="G552" t="str">
        <f>HYPERLINK(_xlfn.CONCAT("https://tablet.otzar.org/",CHAR(35),"/book/155203/p/-1/t/1/fs/0/start/0/end/0/c"),"פירושי רבינו סעדיה גאון על התורה")</f>
        <v>פירושי רבינו סעדיה גאון על התורה</v>
      </c>
      <c r="H552" t="str">
        <f>_xlfn.CONCAT("https://tablet.otzar.org/",CHAR(35),"/book/155203/p/-1/t/1/fs/0/start/0/end/0/c")</f>
        <v>https://tablet.otzar.org/#/book/155203/p/-1/t/1/fs/0/start/0/end/0/c</v>
      </c>
    </row>
    <row r="553" spans="1:8" x14ac:dyDescent="0.25">
      <c r="A553">
        <v>155539</v>
      </c>
      <c r="B553" t="s">
        <v>1116</v>
      </c>
      <c r="C553" t="s">
        <v>1101</v>
      </c>
      <c r="D553" t="s">
        <v>10</v>
      </c>
      <c r="E553" t="s">
        <v>84</v>
      </c>
      <c r="F553" t="s">
        <v>19</v>
      </c>
      <c r="G553" t="str">
        <f>HYPERLINK(_xlfn.CONCAT("https://tablet.otzar.org/",CHAR(35),"/exKotar/155539"),"פירושי רלב""""ג - 4 כרכים")</f>
        <v>פירושי רלב""ג - 4 כרכים</v>
      </c>
      <c r="H553" t="str">
        <f>_xlfn.CONCAT("https://tablet.otzar.org/",CHAR(35),"/exKotar/155539")</f>
        <v>https://tablet.otzar.org/#/exKotar/155539</v>
      </c>
    </row>
    <row r="554" spans="1:8" x14ac:dyDescent="0.25">
      <c r="A554">
        <v>622821</v>
      </c>
      <c r="B554" t="s">
        <v>1117</v>
      </c>
      <c r="C554" t="s">
        <v>1118</v>
      </c>
      <c r="D554" t="s">
        <v>10</v>
      </c>
      <c r="E554" t="s">
        <v>43</v>
      </c>
      <c r="F554" t="s">
        <v>218</v>
      </c>
      <c r="G554" t="str">
        <f>HYPERLINK(_xlfn.CONCAT("https://tablet.otzar.org/",CHAR(35),"/book/622821/p/-1/t/1/fs/0/start/0/end/0/c"),"פירושי רש""""י - מסכת נדרים")</f>
        <v>פירושי רש""י - מסכת נדרים</v>
      </c>
      <c r="H554" t="str">
        <f>_xlfn.CONCAT("https://tablet.otzar.org/",CHAR(35),"/book/622821/p/-1/t/1/fs/0/start/0/end/0/c")</f>
        <v>https://tablet.otzar.org/#/book/622821/p/-1/t/1/fs/0/start/0/end/0/c</v>
      </c>
    </row>
    <row r="555" spans="1:8" x14ac:dyDescent="0.25">
      <c r="A555">
        <v>155543</v>
      </c>
      <c r="B555" t="s">
        <v>1119</v>
      </c>
      <c r="C555" t="s">
        <v>1120</v>
      </c>
      <c r="D555" t="s">
        <v>10</v>
      </c>
      <c r="E555" t="s">
        <v>579</v>
      </c>
      <c r="F555" t="s">
        <v>19</v>
      </c>
      <c r="G555" t="str">
        <f>HYPERLINK(_xlfn.CONCAT("https://tablet.otzar.org/",CHAR(35),"/book/155543/p/-1/t/1/fs/0/start/0/end/0/c"),"פירושי רש""""י על התורה")</f>
        <v>פירושי רש""י על התורה</v>
      </c>
      <c r="H555" t="str">
        <f>_xlfn.CONCAT("https://tablet.otzar.org/",CHAR(35),"/book/155543/p/-1/t/1/fs/0/start/0/end/0/c")</f>
        <v>https://tablet.otzar.org/#/book/155543/p/-1/t/1/fs/0/start/0/end/0/c</v>
      </c>
    </row>
    <row r="556" spans="1:8" x14ac:dyDescent="0.25">
      <c r="A556">
        <v>677776</v>
      </c>
      <c r="B556" t="s">
        <v>1121</v>
      </c>
      <c r="C556" t="s">
        <v>1122</v>
      </c>
      <c r="D556" t="s">
        <v>10</v>
      </c>
      <c r="E556" t="s">
        <v>215</v>
      </c>
      <c r="F556" t="s">
        <v>507</v>
      </c>
      <c r="G556" t="str">
        <f>HYPERLINK(_xlfn.CONCAT("https://tablet.otzar.org/",CHAR(35),"/book/677776/p/-1/t/1/fs/0/start/0/end/0/c"),"פירושי תלמידי הרשב""""א על קבלת הרמב""""ן")</f>
        <v>פירושי תלמידי הרשב""א על קבלת הרמב""ן</v>
      </c>
      <c r="H556" t="str">
        <f>_xlfn.CONCAT("https://tablet.otzar.org/",CHAR(35),"/book/677776/p/-1/t/1/fs/0/start/0/end/0/c")</f>
        <v>https://tablet.otzar.org/#/book/677776/p/-1/t/1/fs/0/start/0/end/0/c</v>
      </c>
    </row>
    <row r="557" spans="1:8" x14ac:dyDescent="0.25">
      <c r="A557">
        <v>155569</v>
      </c>
      <c r="B557" t="s">
        <v>1123</v>
      </c>
      <c r="C557" t="s">
        <v>1124</v>
      </c>
      <c r="D557" t="s">
        <v>10</v>
      </c>
      <c r="E557" t="s">
        <v>926</v>
      </c>
      <c r="F557" t="s">
        <v>23</v>
      </c>
      <c r="G557" t="str">
        <f>HYPERLINK(_xlfn.CONCAT("https://tablet.otzar.org/",CHAR(35),"/book/155569/p/-1/t/1/fs/0/start/0/end/0/c"),"פיתוחים פתוחים ואטורים")</f>
        <v>פיתוחים פתוחים ואטורים</v>
      </c>
      <c r="H557" t="str">
        <f>_xlfn.CONCAT("https://tablet.otzar.org/",CHAR(35),"/book/155569/p/-1/t/1/fs/0/start/0/end/0/c")</f>
        <v>https://tablet.otzar.org/#/book/155569/p/-1/t/1/fs/0/start/0/end/0/c</v>
      </c>
    </row>
    <row r="558" spans="1:8" x14ac:dyDescent="0.25">
      <c r="A558">
        <v>156329</v>
      </c>
      <c r="B558" t="s">
        <v>1125</v>
      </c>
      <c r="C558" t="s">
        <v>1126</v>
      </c>
      <c r="D558" t="s">
        <v>10</v>
      </c>
      <c r="E558" t="s">
        <v>227</v>
      </c>
      <c r="F558" t="s">
        <v>23</v>
      </c>
      <c r="G558" t="str">
        <f>HYPERLINK(_xlfn.CONCAT("https://tablet.otzar.org/",CHAR(35),"/book/156329/p/-1/t/1/fs/0/start/0/end/0/c"),"פליטת סופרים")</f>
        <v>פליטת סופרים</v>
      </c>
      <c r="H558" t="str">
        <f>_xlfn.CONCAT("https://tablet.otzar.org/",CHAR(35),"/book/156329/p/-1/t/1/fs/0/start/0/end/0/c")</f>
        <v>https://tablet.otzar.org/#/book/156329/p/-1/t/1/fs/0/start/0/end/0/c</v>
      </c>
    </row>
    <row r="559" spans="1:8" x14ac:dyDescent="0.25">
      <c r="A559">
        <v>155546</v>
      </c>
      <c r="B559" t="s">
        <v>1127</v>
      </c>
      <c r="C559" t="s">
        <v>1128</v>
      </c>
      <c r="D559" t="s">
        <v>10</v>
      </c>
      <c r="E559" t="s">
        <v>265</v>
      </c>
      <c r="F559" t="s">
        <v>19</v>
      </c>
      <c r="G559" t="str">
        <f>HYPERLINK(_xlfn.CONCAT("https://tablet.otzar.org/",CHAR(35),"/book/155546/p/-1/t/1/fs/0/start/0/end/0/c"),"פני ספר תהלים")</f>
        <v>פני ספר תהלים</v>
      </c>
      <c r="H559" t="str">
        <f>_xlfn.CONCAT("https://tablet.otzar.org/",CHAR(35),"/book/155546/p/-1/t/1/fs/0/start/0/end/0/c")</f>
        <v>https://tablet.otzar.org/#/book/155546/p/-1/t/1/fs/0/start/0/end/0/c</v>
      </c>
    </row>
    <row r="560" spans="1:8" x14ac:dyDescent="0.25">
      <c r="A560">
        <v>155538</v>
      </c>
      <c r="B560" t="s">
        <v>1129</v>
      </c>
      <c r="C560" t="s">
        <v>462</v>
      </c>
      <c r="D560" t="s">
        <v>10</v>
      </c>
      <c r="E560" t="s">
        <v>22</v>
      </c>
      <c r="F560" t="s">
        <v>12</v>
      </c>
      <c r="G560" t="str">
        <f>HYPERLINK(_xlfn.CONCAT("https://tablet.otzar.org/",CHAR(35),"/book/155538/p/-1/t/1/fs/0/start/0/end/0/c"),"פנינים ומרגליות")</f>
        <v>פנינים ומרגליות</v>
      </c>
      <c r="H560" t="str">
        <f>_xlfn.CONCAT("https://tablet.otzar.org/",CHAR(35),"/book/155538/p/-1/t/1/fs/0/start/0/end/0/c")</f>
        <v>https://tablet.otzar.org/#/book/155538/p/-1/t/1/fs/0/start/0/end/0/c</v>
      </c>
    </row>
    <row r="561" spans="1:8" x14ac:dyDescent="0.25">
      <c r="A561">
        <v>156210</v>
      </c>
      <c r="B561" t="s">
        <v>1130</v>
      </c>
      <c r="C561" t="s">
        <v>1131</v>
      </c>
      <c r="D561" t="s">
        <v>10</v>
      </c>
      <c r="E561" t="s">
        <v>240</v>
      </c>
      <c r="F561" t="s">
        <v>1132</v>
      </c>
      <c r="G561" t="str">
        <f>HYPERLINK(_xlfn.CONCAT("https://tablet.otzar.org/",CHAR(35),"/book/156210/p/-1/t/1/fs/0/start/0/end/0/c"),"פנקס התקנות והרישומים")</f>
        <v>פנקס התקנות והרישומים</v>
      </c>
      <c r="H561" t="str">
        <f>_xlfn.CONCAT("https://tablet.otzar.org/",CHAR(35),"/book/156210/p/-1/t/1/fs/0/start/0/end/0/c")</f>
        <v>https://tablet.otzar.org/#/book/156210/p/-1/t/1/fs/0/start/0/end/0/c</v>
      </c>
    </row>
    <row r="562" spans="1:8" x14ac:dyDescent="0.25">
      <c r="A562">
        <v>681336</v>
      </c>
      <c r="B562" t="s">
        <v>1133</v>
      </c>
      <c r="C562" t="s">
        <v>61</v>
      </c>
      <c r="D562" t="s">
        <v>10</v>
      </c>
      <c r="E562" t="s">
        <v>215</v>
      </c>
      <c r="F562" t="s">
        <v>194</v>
      </c>
      <c r="G562" t="str">
        <f>HYPERLINK(_xlfn.CONCAT("https://tablet.otzar.org/",CHAR(35),"/book/681336/p/-1/t/1/fs/0/start/0/end/0/c"),"פסקי הגר""""א &lt;מכון פסקי הגר""""א&gt; - שבת")</f>
        <v>פסקי הגר""א &lt;מכון פסקי הגר""א&gt; - שבת</v>
      </c>
      <c r="H562" t="str">
        <f>_xlfn.CONCAT("https://tablet.otzar.org/",CHAR(35),"/book/681336/p/-1/t/1/fs/0/start/0/end/0/c")</f>
        <v>https://tablet.otzar.org/#/book/681336/p/-1/t/1/fs/0/start/0/end/0/c</v>
      </c>
    </row>
    <row r="563" spans="1:8" x14ac:dyDescent="0.25">
      <c r="A563">
        <v>7395</v>
      </c>
      <c r="B563" t="s">
        <v>1134</v>
      </c>
      <c r="C563" t="s">
        <v>1135</v>
      </c>
      <c r="D563" t="s">
        <v>10</v>
      </c>
      <c r="E563" t="s">
        <v>227</v>
      </c>
      <c r="F563" t="s">
        <v>298</v>
      </c>
      <c r="G563" t="str">
        <f>HYPERLINK(_xlfn.CONCAT("https://tablet.otzar.org/",CHAR(35),"/book/7395/p/-1/t/1/fs/0/start/0/end/0/c"),"פסקי הלכות &lt;יד דוד&gt; - ג")</f>
        <v>פסקי הלכות &lt;יד דוד&gt; - ג</v>
      </c>
      <c r="H563" t="str">
        <f>_xlfn.CONCAT("https://tablet.otzar.org/",CHAR(35),"/book/7395/p/-1/t/1/fs/0/start/0/end/0/c")</f>
        <v>https://tablet.otzar.org/#/book/7395/p/-1/t/1/fs/0/start/0/end/0/c</v>
      </c>
    </row>
    <row r="564" spans="1:8" x14ac:dyDescent="0.25">
      <c r="A564">
        <v>154865</v>
      </c>
      <c r="B564" t="s">
        <v>1136</v>
      </c>
      <c r="C564" t="s">
        <v>548</v>
      </c>
      <c r="D564" t="s">
        <v>10</v>
      </c>
      <c r="E564" t="s">
        <v>84</v>
      </c>
      <c r="F564" t="s">
        <v>85</v>
      </c>
      <c r="G564" t="str">
        <f>HYPERLINK(_xlfn.CONCAT("https://tablet.otzar.org/",CHAR(35),"/book/154865/p/-1/t/1/fs/0/start/0/end/0/c"),"פסקי חלה לרשב""""א עם ביאור קדושת לחם")</f>
        <v>פסקי חלה לרשב""א עם ביאור קדושת לחם</v>
      </c>
      <c r="H564" t="str">
        <f>_xlfn.CONCAT("https://tablet.otzar.org/",CHAR(35),"/book/154865/p/-1/t/1/fs/0/start/0/end/0/c")</f>
        <v>https://tablet.otzar.org/#/book/154865/p/-1/t/1/fs/0/start/0/end/0/c</v>
      </c>
    </row>
    <row r="565" spans="1:8" x14ac:dyDescent="0.25">
      <c r="A565">
        <v>157048</v>
      </c>
      <c r="B565" t="s">
        <v>1137</v>
      </c>
      <c r="C565" t="s">
        <v>880</v>
      </c>
      <c r="D565" t="s">
        <v>10</v>
      </c>
      <c r="E565" t="s">
        <v>18</v>
      </c>
      <c r="F565" t="s">
        <v>85</v>
      </c>
      <c r="G565" t="str">
        <f>HYPERLINK(_xlfn.CONCAT("https://tablet.otzar.org/",CHAR(35),"/book/157048/p/-1/t/1/fs/0/start/0/end/0/c"),"פסקי עזיאל בשאלות הזמן")</f>
        <v>פסקי עזיאל בשאלות הזמן</v>
      </c>
      <c r="H565" t="str">
        <f>_xlfn.CONCAT("https://tablet.otzar.org/",CHAR(35),"/book/157048/p/-1/t/1/fs/0/start/0/end/0/c")</f>
        <v>https://tablet.otzar.org/#/book/157048/p/-1/t/1/fs/0/start/0/end/0/c</v>
      </c>
    </row>
    <row r="566" spans="1:8" x14ac:dyDescent="0.25">
      <c r="A566">
        <v>156330</v>
      </c>
      <c r="B566" t="s">
        <v>1138</v>
      </c>
      <c r="C566" t="s">
        <v>1112</v>
      </c>
      <c r="D566" t="s">
        <v>10</v>
      </c>
      <c r="E566" t="s">
        <v>1139</v>
      </c>
      <c r="F566" t="s">
        <v>1140</v>
      </c>
      <c r="G566" t="str">
        <f>HYPERLINK(_xlfn.CONCAT("https://tablet.otzar.org/",CHAR(35),"/book/156330/p/-1/t/1/fs/0/start/0/end/0/c"),"פסקי רבנו אליהו לסדר זרעים")</f>
        <v>פסקי רבנו אליהו לסדר זרעים</v>
      </c>
      <c r="H566" t="str">
        <f>_xlfn.CONCAT("https://tablet.otzar.org/",CHAR(35),"/book/156330/p/-1/t/1/fs/0/start/0/end/0/c")</f>
        <v>https://tablet.otzar.org/#/book/156330/p/-1/t/1/fs/0/start/0/end/0/c</v>
      </c>
    </row>
    <row r="567" spans="1:8" x14ac:dyDescent="0.25">
      <c r="A567">
        <v>155364</v>
      </c>
      <c r="B567" t="s">
        <v>1141</v>
      </c>
      <c r="C567" t="s">
        <v>1142</v>
      </c>
      <c r="D567" t="s">
        <v>10</v>
      </c>
      <c r="E567" t="s">
        <v>46</v>
      </c>
      <c r="F567" t="s">
        <v>218</v>
      </c>
      <c r="G567" t="str">
        <f>HYPERLINK(_xlfn.CONCAT("https://tablet.otzar.org/",CHAR(35),"/book/155364/p/-1/t/1/fs/0/start/0/end/0/c"),"פסקי תוספות על מסכת סוטה")</f>
        <v>פסקי תוספות על מסכת סוטה</v>
      </c>
      <c r="H567" t="str">
        <f>_xlfn.CONCAT("https://tablet.otzar.org/",CHAR(35),"/book/155364/p/-1/t/1/fs/0/start/0/end/0/c")</f>
        <v>https://tablet.otzar.org/#/book/155364/p/-1/t/1/fs/0/start/0/end/0/c</v>
      </c>
    </row>
    <row r="568" spans="1:8" x14ac:dyDescent="0.25">
      <c r="A568">
        <v>157344</v>
      </c>
      <c r="B568" t="s">
        <v>1143</v>
      </c>
      <c r="C568" t="s">
        <v>1144</v>
      </c>
      <c r="D568" t="s">
        <v>10</v>
      </c>
      <c r="E568" t="s">
        <v>383</v>
      </c>
      <c r="F568" t="s">
        <v>59</v>
      </c>
      <c r="G568" t="str">
        <f>HYPERLINK(_xlfn.CONCAT("https://tablet.otzar.org/",CHAR(35),"/exKotar/157344"),"פסקים וכתבים - 9 כרכים")</f>
        <v>פסקים וכתבים - 9 כרכים</v>
      </c>
      <c r="H568" t="str">
        <f>_xlfn.CONCAT("https://tablet.otzar.org/",CHAR(35),"/exKotar/157344")</f>
        <v>https://tablet.otzar.org/#/exKotar/157344</v>
      </c>
    </row>
    <row r="569" spans="1:8" x14ac:dyDescent="0.25">
      <c r="A569">
        <v>157020</v>
      </c>
      <c r="B569" t="s">
        <v>1145</v>
      </c>
      <c r="C569" t="s">
        <v>1146</v>
      </c>
      <c r="D569" t="s">
        <v>10</v>
      </c>
      <c r="E569" t="s">
        <v>745</v>
      </c>
      <c r="G569" t="str">
        <f>HYPERLINK(_xlfn.CONCAT("https://tablet.otzar.org/",CHAR(35),"/book/157020/p/-1/t/1/fs/0/start/0/end/0/c"),"פרס ורומי בתלמוד ובמדרשים")</f>
        <v>פרס ורומי בתלמוד ובמדרשים</v>
      </c>
      <c r="H569" t="str">
        <f>_xlfn.CONCAT("https://tablet.otzar.org/",CHAR(35),"/book/157020/p/-1/t/1/fs/0/start/0/end/0/c")</f>
        <v>https://tablet.otzar.org/#/book/157020/p/-1/t/1/fs/0/start/0/end/0/c</v>
      </c>
    </row>
    <row r="570" spans="1:8" x14ac:dyDescent="0.25">
      <c r="A570">
        <v>157064</v>
      </c>
      <c r="B570" t="s">
        <v>1147</v>
      </c>
      <c r="C570" t="s">
        <v>1148</v>
      </c>
      <c r="D570" t="s">
        <v>10</v>
      </c>
      <c r="E570" t="s">
        <v>15</v>
      </c>
      <c r="F570" t="s">
        <v>19</v>
      </c>
      <c r="G570" t="str">
        <f>HYPERLINK(_xlfn.CONCAT("https://tablet.otzar.org/",CHAR(35),"/book/157064/p/-1/t/1/fs/0/start/0/end/0/c"),"פרקי הדרכה בהוראת נביאים ראשונים")</f>
        <v>פרקי הדרכה בהוראת נביאים ראשונים</v>
      </c>
      <c r="H570" t="str">
        <f>_xlfn.CONCAT("https://tablet.otzar.org/",CHAR(35),"/book/157064/p/-1/t/1/fs/0/start/0/end/0/c")</f>
        <v>https://tablet.otzar.org/#/book/157064/p/-1/t/1/fs/0/start/0/end/0/c</v>
      </c>
    </row>
    <row r="571" spans="1:8" x14ac:dyDescent="0.25">
      <c r="A571">
        <v>155520</v>
      </c>
      <c r="B571" t="s">
        <v>1149</v>
      </c>
      <c r="C571" t="s">
        <v>1048</v>
      </c>
      <c r="D571" t="s">
        <v>10</v>
      </c>
      <c r="E571" t="s">
        <v>265</v>
      </c>
      <c r="F571" t="s">
        <v>33</v>
      </c>
      <c r="G571" t="str">
        <f>HYPERLINK(_xlfn.CONCAT("https://tablet.otzar.org/",CHAR(35),"/exKotar/155520"),"פרקי עיון - 3 כרכים")</f>
        <v>פרקי עיון - 3 כרכים</v>
      </c>
      <c r="H571" t="str">
        <f>_xlfn.CONCAT("https://tablet.otzar.org/",CHAR(35),"/exKotar/155520")</f>
        <v>https://tablet.otzar.org/#/exKotar/155520</v>
      </c>
    </row>
    <row r="572" spans="1:8" x14ac:dyDescent="0.25">
      <c r="A572">
        <v>156198</v>
      </c>
      <c r="B572" t="s">
        <v>1150</v>
      </c>
      <c r="C572" t="s">
        <v>1028</v>
      </c>
      <c r="D572" t="s">
        <v>10</v>
      </c>
      <c r="E572" t="s">
        <v>579</v>
      </c>
      <c r="F572" t="s">
        <v>23</v>
      </c>
      <c r="G572" t="str">
        <f>HYPERLINK(_xlfn.CONCAT("https://tablet.otzar.org/",CHAR(35),"/book/156198/p/-1/t/1/fs/0/start/0/end/0/c"),"פרקי עיון במשנת רבי אברהם אבן עזרא")</f>
        <v>פרקי עיון במשנת רבי אברהם אבן עזרא</v>
      </c>
      <c r="H572" t="str">
        <f>_xlfn.CONCAT("https://tablet.otzar.org/",CHAR(35),"/book/156198/p/-1/t/1/fs/0/start/0/end/0/c")</f>
        <v>https://tablet.otzar.org/#/book/156198/p/-1/t/1/fs/0/start/0/end/0/c</v>
      </c>
    </row>
    <row r="573" spans="1:8" x14ac:dyDescent="0.25">
      <c r="A573">
        <v>156196</v>
      </c>
      <c r="B573" t="s">
        <v>1151</v>
      </c>
      <c r="C573" t="s">
        <v>1152</v>
      </c>
      <c r="D573" t="s">
        <v>10</v>
      </c>
      <c r="E573" t="s">
        <v>265</v>
      </c>
      <c r="F573" t="s">
        <v>12</v>
      </c>
      <c r="G573" t="str">
        <f>HYPERLINK(_xlfn.CONCAT("https://tablet.otzar.org/",CHAR(35),"/book/156196/p/-1/t/1/fs/0/start/0/end/0/c"),"פרקים בתולדות היהודים בפולין")</f>
        <v>פרקים בתולדות היהודים בפולין</v>
      </c>
      <c r="H573" t="str">
        <f>_xlfn.CONCAT("https://tablet.otzar.org/",CHAR(35),"/book/156196/p/-1/t/1/fs/0/start/0/end/0/c")</f>
        <v>https://tablet.otzar.org/#/book/156196/p/-1/t/1/fs/0/start/0/end/0/c</v>
      </c>
    </row>
    <row r="574" spans="1:8" x14ac:dyDescent="0.25">
      <c r="A574">
        <v>155280</v>
      </c>
      <c r="B574" t="s">
        <v>1153</v>
      </c>
      <c r="C574" t="s">
        <v>226</v>
      </c>
      <c r="D574" t="s">
        <v>10</v>
      </c>
      <c r="E574" t="s">
        <v>46</v>
      </c>
      <c r="F574" t="s">
        <v>218</v>
      </c>
      <c r="G574" t="str">
        <f>HYPERLINK(_xlfn.CONCAT("https://tablet.otzar.org/",CHAR(35),"/book/155280/p/-1/t/1/fs/0/start/0/end/0/c"),"פרשת מרדכי")</f>
        <v>פרשת מרדכי</v>
      </c>
      <c r="H574" t="str">
        <f>_xlfn.CONCAT("https://tablet.otzar.org/",CHAR(35),"/book/155280/p/-1/t/1/fs/0/start/0/end/0/c")</f>
        <v>https://tablet.otzar.org/#/book/155280/p/-1/t/1/fs/0/start/0/end/0/c</v>
      </c>
    </row>
    <row r="575" spans="1:8" x14ac:dyDescent="0.25">
      <c r="A575">
        <v>194197</v>
      </c>
      <c r="B575" t="s">
        <v>1154</v>
      </c>
      <c r="C575" t="s">
        <v>261</v>
      </c>
      <c r="D575" t="s">
        <v>10</v>
      </c>
      <c r="E575" t="s">
        <v>65</v>
      </c>
      <c r="F575" t="s">
        <v>19</v>
      </c>
      <c r="G575" t="str">
        <f>HYPERLINK(_xlfn.CONCAT("https://tablet.otzar.org/",CHAR(35),"/exKotar/194197"),"צוהר לבראשית - 2 כרכים")</f>
        <v>צוהר לבראשית - 2 כרכים</v>
      </c>
      <c r="H575" t="str">
        <f>_xlfn.CONCAT("https://tablet.otzar.org/",CHAR(35),"/exKotar/194197")</f>
        <v>https://tablet.otzar.org/#/exKotar/194197</v>
      </c>
    </row>
    <row r="576" spans="1:8" x14ac:dyDescent="0.25">
      <c r="A576">
        <v>155284</v>
      </c>
      <c r="B576" t="s">
        <v>1155</v>
      </c>
      <c r="C576" t="s">
        <v>1156</v>
      </c>
      <c r="D576" t="s">
        <v>10</v>
      </c>
      <c r="E576" t="s">
        <v>745</v>
      </c>
      <c r="F576" t="s">
        <v>23</v>
      </c>
      <c r="G576" t="str">
        <f>HYPERLINK(_xlfn.CONCAT("https://tablet.otzar.org/",CHAR(35),"/book/155284/p/-1/t/1/fs/0/start/0/end/0/c"),"ציון וירושלים")</f>
        <v>ציון וירושלים</v>
      </c>
      <c r="H576" t="str">
        <f>_xlfn.CONCAT("https://tablet.otzar.org/",CHAR(35),"/book/155284/p/-1/t/1/fs/0/start/0/end/0/c")</f>
        <v>https://tablet.otzar.org/#/book/155284/p/-1/t/1/fs/0/start/0/end/0/c</v>
      </c>
    </row>
    <row r="577" spans="1:8" x14ac:dyDescent="0.25">
      <c r="A577">
        <v>181048</v>
      </c>
      <c r="B577" t="s">
        <v>1157</v>
      </c>
      <c r="C577" t="s">
        <v>1158</v>
      </c>
      <c r="D577" t="s">
        <v>10</v>
      </c>
      <c r="E577" t="s">
        <v>394</v>
      </c>
      <c r="F577" t="s">
        <v>59</v>
      </c>
      <c r="G577" t="str">
        <f>HYPERLINK(_xlfn.CONCAT("https://tablet.otzar.org/",CHAR(35),"/book/181048/p/-1/t/1/fs/0/start/0/end/0/c"),"ציון לנפש חיה - שו""""ת")</f>
        <v>ציון לנפש חיה - שו""ת</v>
      </c>
      <c r="H577" t="str">
        <f>_xlfn.CONCAT("https://tablet.otzar.org/",CHAR(35),"/book/181048/p/-1/t/1/fs/0/start/0/end/0/c")</f>
        <v>https://tablet.otzar.org/#/book/181048/p/-1/t/1/fs/0/start/0/end/0/c</v>
      </c>
    </row>
    <row r="578" spans="1:8" x14ac:dyDescent="0.25">
      <c r="A578">
        <v>155171</v>
      </c>
      <c r="B578" t="s">
        <v>1159</v>
      </c>
      <c r="C578" t="s">
        <v>1160</v>
      </c>
      <c r="D578" t="s">
        <v>10</v>
      </c>
      <c r="E578" t="s">
        <v>132</v>
      </c>
      <c r="F578" t="s">
        <v>33</v>
      </c>
      <c r="G578" t="str">
        <f>HYPERLINK(_xlfn.CONCAT("https://tablet.otzar.org/",CHAR(35),"/book/155171/p/-1/t/1/fs/0/start/0/end/0/c"),"ציוני דרך")</f>
        <v>ציוני דרך</v>
      </c>
      <c r="H578" t="str">
        <f>_xlfn.CONCAT("https://tablet.otzar.org/",CHAR(35),"/book/155171/p/-1/t/1/fs/0/start/0/end/0/c")</f>
        <v>https://tablet.otzar.org/#/book/155171/p/-1/t/1/fs/0/start/0/end/0/c</v>
      </c>
    </row>
    <row r="579" spans="1:8" x14ac:dyDescent="0.25">
      <c r="A579">
        <v>155353</v>
      </c>
      <c r="B579" t="s">
        <v>1161</v>
      </c>
      <c r="C579" t="s">
        <v>1162</v>
      </c>
      <c r="D579" t="s">
        <v>10</v>
      </c>
      <c r="E579" t="s">
        <v>622</v>
      </c>
      <c r="F579" t="s">
        <v>85</v>
      </c>
      <c r="G579" t="str">
        <f>HYPERLINK(_xlfn.CONCAT("https://tablet.otzar.org/",CHAR(35),"/exKotar/155353"),"צפנת פענח &lt;על הרמב""""ם&gt;  - 3 כרכים")</f>
        <v>צפנת פענח &lt;על הרמב""ם&gt;  - 3 כרכים</v>
      </c>
      <c r="H579" t="str">
        <f>_xlfn.CONCAT("https://tablet.otzar.org/",CHAR(35),"/exKotar/155353")</f>
        <v>https://tablet.otzar.org/#/exKotar/155353</v>
      </c>
    </row>
    <row r="580" spans="1:8" x14ac:dyDescent="0.25">
      <c r="A580">
        <v>15524</v>
      </c>
      <c r="B580" t="s">
        <v>1163</v>
      </c>
      <c r="C580" t="s">
        <v>1164</v>
      </c>
      <c r="D580" t="s">
        <v>10</v>
      </c>
      <c r="E580" t="s">
        <v>1055</v>
      </c>
      <c r="F580" t="s">
        <v>1165</v>
      </c>
      <c r="G580" t="str">
        <f>HYPERLINK(_xlfn.CONCAT("https://tablet.otzar.org/",CHAR(35),"/book/15524/p/-1/t/1/fs/0/start/0/end/0/c"),"קברים קדושים בבבל")</f>
        <v>קברים קדושים בבבל</v>
      </c>
      <c r="H580" t="str">
        <f>_xlfn.CONCAT("https://tablet.otzar.org/",CHAR(35),"/book/15524/p/-1/t/1/fs/0/start/0/end/0/c")</f>
        <v>https://tablet.otzar.org/#/book/15524/p/-1/t/1/fs/0/start/0/end/0/c</v>
      </c>
    </row>
    <row r="581" spans="1:8" x14ac:dyDescent="0.25">
      <c r="A581">
        <v>155158</v>
      </c>
      <c r="B581" t="s">
        <v>1166</v>
      </c>
      <c r="C581" t="s">
        <v>1167</v>
      </c>
      <c r="D581" t="s">
        <v>10</v>
      </c>
      <c r="E581" t="s">
        <v>347</v>
      </c>
      <c r="F581" t="s">
        <v>19</v>
      </c>
      <c r="G581" t="str">
        <f>HYPERLINK(_xlfn.CONCAT("https://tablet.otzar.org/",CHAR(35),"/exKotar/155158"),"קדושת פשוטו של מקרא - 2 כרכים")</f>
        <v>קדושת פשוטו של מקרא - 2 כרכים</v>
      </c>
      <c r="H581" t="str">
        <f>_xlfn.CONCAT("https://tablet.otzar.org/",CHAR(35),"/exKotar/155158")</f>
        <v>https://tablet.otzar.org/#/exKotar/155158</v>
      </c>
    </row>
    <row r="582" spans="1:8" x14ac:dyDescent="0.25">
      <c r="A582">
        <v>155585</v>
      </c>
      <c r="B582" t="s">
        <v>1168</v>
      </c>
      <c r="C582" t="s">
        <v>473</v>
      </c>
      <c r="D582" t="s">
        <v>10</v>
      </c>
      <c r="E582" t="s">
        <v>112</v>
      </c>
      <c r="F582" t="s">
        <v>23</v>
      </c>
      <c r="G582" t="str">
        <f>HYPERLINK(_xlfn.CONCAT("https://tablet.otzar.org/",CHAR(35),"/book/155585/p/-1/t/1/fs/0/start/0/end/0/c"),"קובץ מאמרים ומחקרים בתורה ובמדעי היהדות")</f>
        <v>קובץ מאמרים ומחקרים בתורה ובמדעי היהדות</v>
      </c>
      <c r="H582" t="str">
        <f>_xlfn.CONCAT("https://tablet.otzar.org/",CHAR(35),"/book/155585/p/-1/t/1/fs/0/start/0/end/0/c")</f>
        <v>https://tablet.otzar.org/#/book/155585/p/-1/t/1/fs/0/start/0/end/0/c</v>
      </c>
    </row>
    <row r="583" spans="1:8" x14ac:dyDescent="0.25">
      <c r="A583">
        <v>157016</v>
      </c>
      <c r="B583" t="s">
        <v>1169</v>
      </c>
      <c r="C583" t="s">
        <v>1170</v>
      </c>
      <c r="D583" t="s">
        <v>10</v>
      </c>
      <c r="E583" t="s">
        <v>18</v>
      </c>
      <c r="F583" t="s">
        <v>1171</v>
      </c>
      <c r="G583" t="str">
        <f>HYPERLINK(_xlfn.CONCAT("https://tablet.otzar.org/",CHAR(35),"/book/157016/p/-1/t/1/fs/0/start/0/end/0/c"),"קול דוד תניינא")</f>
        <v>קול דוד תניינא</v>
      </c>
      <c r="H583" t="str">
        <f>_xlfn.CONCAT("https://tablet.otzar.org/",CHAR(35),"/book/157016/p/-1/t/1/fs/0/start/0/end/0/c")</f>
        <v>https://tablet.otzar.org/#/book/157016/p/-1/t/1/fs/0/start/0/end/0/c</v>
      </c>
    </row>
    <row r="584" spans="1:8" x14ac:dyDescent="0.25">
      <c r="A584">
        <v>156277</v>
      </c>
      <c r="B584" t="s">
        <v>1172</v>
      </c>
      <c r="C584" t="s">
        <v>1173</v>
      </c>
      <c r="D584" t="s">
        <v>10</v>
      </c>
      <c r="E584" t="s">
        <v>120</v>
      </c>
      <c r="F584" t="s">
        <v>23</v>
      </c>
      <c r="G584" t="str">
        <f>HYPERLINK(_xlfn.CONCAT("https://tablet.otzar.org/",CHAR(35),"/book/156277/p/-1/t/1/fs/0/start/0/end/0/c"),"קול הנבואה")</f>
        <v>קול הנבואה</v>
      </c>
      <c r="H584" t="str">
        <f>_xlfn.CONCAT("https://tablet.otzar.org/",CHAR(35),"/book/156277/p/-1/t/1/fs/0/start/0/end/0/c")</f>
        <v>https://tablet.otzar.org/#/book/156277/p/-1/t/1/fs/0/start/0/end/0/c</v>
      </c>
    </row>
    <row r="585" spans="1:8" x14ac:dyDescent="0.25">
      <c r="A585">
        <v>647367</v>
      </c>
      <c r="B585" t="s">
        <v>1174</v>
      </c>
      <c r="C585" t="s">
        <v>1175</v>
      </c>
      <c r="D585" t="s">
        <v>10</v>
      </c>
      <c r="E585" t="s">
        <v>49</v>
      </c>
      <c r="G585" t="str">
        <f>HYPERLINK(_xlfn.CONCAT("https://tablet.otzar.org/",CHAR(35),"/exKotar/647367"),"קול מבשר &lt;מוה""""ק&gt;  - 2 כרכים")</f>
        <v>קול מבשר &lt;מוה""ק&gt;  - 2 כרכים</v>
      </c>
      <c r="H585" t="str">
        <f>_xlfn.CONCAT("https://tablet.otzar.org/",CHAR(35),"/exKotar/647367")</f>
        <v>https://tablet.otzar.org/#/exKotar/647367</v>
      </c>
    </row>
    <row r="586" spans="1:8" x14ac:dyDescent="0.25">
      <c r="A586">
        <v>155182</v>
      </c>
      <c r="B586" t="s">
        <v>1176</v>
      </c>
      <c r="C586" t="s">
        <v>1177</v>
      </c>
      <c r="D586" t="s">
        <v>10</v>
      </c>
      <c r="E586" t="s">
        <v>132</v>
      </c>
      <c r="F586" t="s">
        <v>29</v>
      </c>
      <c r="G586" t="str">
        <f>HYPERLINK(_xlfn.CONCAT("https://tablet.otzar.org/",CHAR(35),"/book/155182/p/-1/t/1/fs/0/start/0/end/0/c"),"קונטריס על ענין שבת החתונה")</f>
        <v>קונטריס על ענין שבת החתונה</v>
      </c>
      <c r="H586" t="str">
        <f>_xlfn.CONCAT("https://tablet.otzar.org/",CHAR(35),"/book/155182/p/-1/t/1/fs/0/start/0/end/0/c")</f>
        <v>https://tablet.otzar.org/#/book/155182/p/-1/t/1/fs/0/start/0/end/0/c</v>
      </c>
    </row>
    <row r="587" spans="1:8" x14ac:dyDescent="0.25">
      <c r="A587">
        <v>606731</v>
      </c>
      <c r="B587" t="s">
        <v>1178</v>
      </c>
      <c r="C587" t="s">
        <v>1179</v>
      </c>
      <c r="D587" t="s">
        <v>10</v>
      </c>
      <c r="E587" t="s">
        <v>100</v>
      </c>
      <c r="F587" t="s">
        <v>85</v>
      </c>
      <c r="G587" t="str">
        <f>HYPERLINK(_xlfn.CONCAT("https://tablet.otzar.org/",CHAR(35),"/book/606731/p/-1/t/1/fs/0/start/0/end/0/c"),"קונטרס קידוש השם")</f>
        <v>קונטרס קידוש השם</v>
      </c>
      <c r="H587" t="str">
        <f>_xlfn.CONCAT("https://tablet.otzar.org/",CHAR(35),"/book/606731/p/-1/t/1/fs/0/start/0/end/0/c")</f>
        <v>https://tablet.otzar.org/#/book/606731/p/-1/t/1/fs/0/start/0/end/0/c</v>
      </c>
    </row>
    <row r="588" spans="1:8" x14ac:dyDescent="0.25">
      <c r="A588">
        <v>155374</v>
      </c>
      <c r="B588" t="s">
        <v>1180</v>
      </c>
      <c r="C588" t="s">
        <v>1181</v>
      </c>
      <c r="D588" t="s">
        <v>10</v>
      </c>
      <c r="E588" t="s">
        <v>1055</v>
      </c>
      <c r="F588" t="s">
        <v>194</v>
      </c>
      <c r="G588" t="str">
        <f>HYPERLINK(_xlfn.CONCAT("https://tablet.otzar.org/",CHAR(35),"/book/155374/p/-1/t/1/fs/0/start/0/end/0/c"),"קיצור שלחן ערוך (מנוקד)")</f>
        <v>קיצור שלחן ערוך (מנוקד)</v>
      </c>
      <c r="H588" t="str">
        <f>_xlfn.CONCAT("https://tablet.otzar.org/",CHAR(35),"/book/155374/p/-1/t/1/fs/0/start/0/end/0/c")</f>
        <v>https://tablet.otzar.org/#/book/155374/p/-1/t/1/fs/0/start/0/end/0/c</v>
      </c>
    </row>
    <row r="589" spans="1:8" x14ac:dyDescent="0.25">
      <c r="A589">
        <v>601553</v>
      </c>
      <c r="B589" t="s">
        <v>1182</v>
      </c>
      <c r="C589" t="s">
        <v>1183</v>
      </c>
      <c r="D589" t="s">
        <v>10</v>
      </c>
      <c r="E589" t="s">
        <v>187</v>
      </c>
      <c r="F589" t="s">
        <v>19</v>
      </c>
      <c r="G589" t="str">
        <f>HYPERLINK(_xlfn.CONCAT("https://tablet.otzar.org/",CHAR(35),"/book/601553/p/-1/t/1/fs/0/start/0/end/0/c"),"קסת הסופר &lt;מוה""""ק&gt; - א")</f>
        <v>קסת הסופר &lt;מוה""ק&gt; - א</v>
      </c>
      <c r="H589" t="str">
        <f>_xlfn.CONCAT("https://tablet.otzar.org/",CHAR(35),"/book/601553/p/-1/t/1/fs/0/start/0/end/0/c")</f>
        <v>https://tablet.otzar.org/#/book/601553/p/-1/t/1/fs/0/start/0/end/0/c</v>
      </c>
    </row>
    <row r="590" spans="1:8" x14ac:dyDescent="0.25">
      <c r="A590">
        <v>157391</v>
      </c>
      <c r="B590" t="s">
        <v>1184</v>
      </c>
      <c r="C590" t="s">
        <v>1185</v>
      </c>
      <c r="D590" t="s">
        <v>10</v>
      </c>
      <c r="E590" t="s">
        <v>471</v>
      </c>
      <c r="F590" t="s">
        <v>12</v>
      </c>
      <c r="G590" t="str">
        <f>HYPERLINK(_xlfn.CONCAT("https://tablet.otzar.org/",CHAR(35),"/book/157391/p/-1/t/1/fs/0/start/0/end/0/c"),"קראקא - ספר קראקא")</f>
        <v>קראקא - ספר קראקא</v>
      </c>
      <c r="H590" t="str">
        <f>_xlfn.CONCAT("https://tablet.otzar.org/",CHAR(35),"/book/157391/p/-1/t/1/fs/0/start/0/end/0/c")</f>
        <v>https://tablet.otzar.org/#/book/157391/p/-1/t/1/fs/0/start/0/end/0/c</v>
      </c>
    </row>
    <row r="591" spans="1:8" x14ac:dyDescent="0.25">
      <c r="A591">
        <v>155300</v>
      </c>
      <c r="B591" t="s">
        <v>1186</v>
      </c>
      <c r="C591" t="s">
        <v>1187</v>
      </c>
      <c r="D591" t="s">
        <v>10</v>
      </c>
      <c r="E591" t="s">
        <v>46</v>
      </c>
      <c r="F591" t="s">
        <v>12</v>
      </c>
      <c r="G591" t="str">
        <f>HYPERLINK(_xlfn.CONCAT("https://tablet.otzar.org/",CHAR(35),"/book/155300/p/-1/t/1/fs/0/start/0/end/0/c"),"קרית משה")</f>
        <v>קרית משה</v>
      </c>
      <c r="H591" t="str">
        <f>_xlfn.CONCAT("https://tablet.otzar.org/",CHAR(35),"/book/155300/p/-1/t/1/fs/0/start/0/end/0/c")</f>
        <v>https://tablet.otzar.org/#/book/155300/p/-1/t/1/fs/0/start/0/end/0/c</v>
      </c>
    </row>
    <row r="592" spans="1:8" x14ac:dyDescent="0.25">
      <c r="A592">
        <v>170018</v>
      </c>
      <c r="B592" t="s">
        <v>1188</v>
      </c>
      <c r="C592" t="s">
        <v>1189</v>
      </c>
      <c r="D592" t="s">
        <v>10</v>
      </c>
      <c r="E592" t="s">
        <v>325</v>
      </c>
      <c r="F592" t="s">
        <v>218</v>
      </c>
      <c r="G592" t="str">
        <f>HYPERLINK(_xlfn.CONCAT("https://tablet.otzar.org/",CHAR(35),"/book/170018/p/-1/t/1/fs/0/start/0/end/0/c"),"קרן ישראל - חולין")</f>
        <v>קרן ישראל - חולין</v>
      </c>
      <c r="H592" t="str">
        <f>_xlfn.CONCAT("https://tablet.otzar.org/",CHAR(35),"/book/170018/p/-1/t/1/fs/0/start/0/end/0/c")</f>
        <v>https://tablet.otzar.org/#/book/170018/p/-1/t/1/fs/0/start/0/end/0/c</v>
      </c>
    </row>
    <row r="593" spans="1:8" x14ac:dyDescent="0.25">
      <c r="A593">
        <v>155186</v>
      </c>
      <c r="B593" t="s">
        <v>1190</v>
      </c>
      <c r="C593" t="s">
        <v>212</v>
      </c>
      <c r="D593" t="s">
        <v>10</v>
      </c>
      <c r="E593" t="s">
        <v>130</v>
      </c>
      <c r="F593" t="s">
        <v>12</v>
      </c>
      <c r="G593" t="str">
        <f>HYPERLINK(_xlfn.CONCAT("https://tablet.otzar.org/",CHAR(35),"/exKotar/155186"),"קשת גבורים - 5 כרכים")</f>
        <v>קשת גבורים - 5 כרכים</v>
      </c>
      <c r="H593" t="str">
        <f>_xlfn.CONCAT("https://tablet.otzar.org/",CHAR(35),"/exKotar/155186")</f>
        <v>https://tablet.otzar.org/#/exKotar/155186</v>
      </c>
    </row>
    <row r="594" spans="1:8" x14ac:dyDescent="0.25">
      <c r="A594">
        <v>156286</v>
      </c>
      <c r="B594" t="s">
        <v>1191</v>
      </c>
      <c r="C594" t="s">
        <v>1192</v>
      </c>
      <c r="D594" t="s">
        <v>10</v>
      </c>
      <c r="E594" t="s">
        <v>109</v>
      </c>
      <c r="F594" t="s">
        <v>12</v>
      </c>
      <c r="G594" t="str">
        <f>HYPERLINK(_xlfn.CONCAT("https://tablet.otzar.org/",CHAR(35),"/book/156286/p/-1/t/1/fs/0/start/0/end/0/c"),"ר' יצחק אייזיק מקאמרנא")</f>
        <v>ר' יצחק אייזיק מקאמרנא</v>
      </c>
      <c r="H594" t="str">
        <f>_xlfn.CONCAT("https://tablet.otzar.org/",CHAR(35),"/book/156286/p/-1/t/1/fs/0/start/0/end/0/c")</f>
        <v>https://tablet.otzar.org/#/book/156286/p/-1/t/1/fs/0/start/0/end/0/c</v>
      </c>
    </row>
    <row r="595" spans="1:8" x14ac:dyDescent="0.25">
      <c r="A595">
        <v>154997</v>
      </c>
      <c r="B595" t="s">
        <v>1193</v>
      </c>
      <c r="C595" t="s">
        <v>21</v>
      </c>
      <c r="D595" t="s">
        <v>10</v>
      </c>
      <c r="E595" t="s">
        <v>80</v>
      </c>
      <c r="F595" t="s">
        <v>838</v>
      </c>
      <c r="G595" t="str">
        <f>HYPERLINK(_xlfn.CONCAT("https://tablet.otzar.org/",CHAR(35),"/book/154997/p/-1/t/1/fs/0/start/0/end/0/c"),"ראש מילין &lt;מוה""""ק&gt;")</f>
        <v>ראש מילין &lt;מוה""ק&gt;</v>
      </c>
      <c r="H595" t="str">
        <f>_xlfn.CONCAT("https://tablet.otzar.org/",CHAR(35),"/book/154997/p/-1/t/1/fs/0/start/0/end/0/c")</f>
        <v>https://tablet.otzar.org/#/book/154997/p/-1/t/1/fs/0/start/0/end/0/c</v>
      </c>
    </row>
    <row r="596" spans="1:8" x14ac:dyDescent="0.25">
      <c r="A596">
        <v>155199</v>
      </c>
      <c r="B596" t="s">
        <v>1194</v>
      </c>
      <c r="C596" t="s">
        <v>111</v>
      </c>
      <c r="D596" t="s">
        <v>10</v>
      </c>
      <c r="E596" t="s">
        <v>347</v>
      </c>
      <c r="F596" t="s">
        <v>12</v>
      </c>
      <c r="G596" t="str">
        <f>HYPERLINK(_xlfn.CONCAT("https://tablet.otzar.org/",CHAR(35),"/book/155199/p/-1/t/1/fs/0/start/0/end/0/c"),"ראשונים לציון הנה הנם")</f>
        <v>ראשונים לציון הנה הנם</v>
      </c>
      <c r="H596" t="str">
        <f>_xlfn.CONCAT("https://tablet.otzar.org/",CHAR(35),"/book/155199/p/-1/t/1/fs/0/start/0/end/0/c")</f>
        <v>https://tablet.otzar.org/#/book/155199/p/-1/t/1/fs/0/start/0/end/0/c</v>
      </c>
    </row>
    <row r="597" spans="1:8" x14ac:dyDescent="0.25">
      <c r="A597">
        <v>194447</v>
      </c>
      <c r="B597" t="s">
        <v>1195</v>
      </c>
      <c r="C597" t="s">
        <v>1196</v>
      </c>
      <c r="D597" t="s">
        <v>10</v>
      </c>
      <c r="E597" t="s">
        <v>65</v>
      </c>
      <c r="F597" t="s">
        <v>218</v>
      </c>
      <c r="G597" t="str">
        <f>HYPERLINK(_xlfn.CONCAT("https://tablet.otzar.org/",CHAR(35),"/book/194447/p/-1/t/1/fs/0/start/0/end/0/c"),"ראשית הנזר")</f>
        <v>ראשית הנזר</v>
      </c>
      <c r="H597" t="str">
        <f>_xlfn.CONCAT("https://tablet.otzar.org/",CHAR(35),"/book/194447/p/-1/t/1/fs/0/start/0/end/0/c")</f>
        <v>https://tablet.otzar.org/#/book/194447/p/-1/t/1/fs/0/start/0/end/0/c</v>
      </c>
    </row>
    <row r="598" spans="1:8" x14ac:dyDescent="0.25">
      <c r="A598">
        <v>156204</v>
      </c>
      <c r="B598" t="s">
        <v>1197</v>
      </c>
      <c r="C598" t="s">
        <v>1192</v>
      </c>
      <c r="D598" t="s">
        <v>10</v>
      </c>
      <c r="E598" t="s">
        <v>80</v>
      </c>
      <c r="F598" t="s">
        <v>12</v>
      </c>
      <c r="G598" t="str">
        <f>HYPERLINK(_xlfn.CONCAT("https://tablet.otzar.org/",CHAR(35),"/book/156204/p/-1/t/1/fs/0/start/0/end/0/c"),"רבי אברהם יהושע השיל הרב מאפטא")</f>
        <v>רבי אברהם יהושע השיל הרב מאפטא</v>
      </c>
      <c r="H598" t="str">
        <f>_xlfn.CONCAT("https://tablet.otzar.org/",CHAR(35),"/book/156204/p/-1/t/1/fs/0/start/0/end/0/c")</f>
        <v>https://tablet.otzar.org/#/book/156204/p/-1/t/1/fs/0/start/0/end/0/c</v>
      </c>
    </row>
    <row r="599" spans="1:8" x14ac:dyDescent="0.25">
      <c r="A599">
        <v>144544</v>
      </c>
      <c r="B599" t="s">
        <v>1198</v>
      </c>
      <c r="C599" t="s">
        <v>1199</v>
      </c>
      <c r="D599" t="s">
        <v>10</v>
      </c>
      <c r="E599" t="s">
        <v>54</v>
      </c>
      <c r="F599" t="s">
        <v>12</v>
      </c>
      <c r="G599" t="str">
        <f>HYPERLINK(_xlfn.CONCAT("https://tablet.otzar.org/",CHAR(35),"/book/144544/p/-1/t/1/fs/0/start/0/end/0/c"),"רבי ברוך הלוי אפשטיין")</f>
        <v>רבי ברוך הלוי אפשטיין</v>
      </c>
      <c r="H599" t="str">
        <f>_xlfn.CONCAT("https://tablet.otzar.org/",CHAR(35),"/book/144544/p/-1/t/1/fs/0/start/0/end/0/c")</f>
        <v>https://tablet.otzar.org/#/book/144544/p/-1/t/1/fs/0/start/0/end/0/c</v>
      </c>
    </row>
    <row r="600" spans="1:8" x14ac:dyDescent="0.25">
      <c r="A600">
        <v>156203</v>
      </c>
      <c r="B600" t="s">
        <v>1200</v>
      </c>
      <c r="C600" t="s">
        <v>1201</v>
      </c>
      <c r="D600" t="s">
        <v>10</v>
      </c>
      <c r="E600" t="s">
        <v>120</v>
      </c>
      <c r="F600" t="s">
        <v>12</v>
      </c>
      <c r="G600" t="str">
        <f>HYPERLINK(_xlfn.CONCAT("https://tablet.otzar.org/",CHAR(35),"/book/156203/p/-1/t/1/fs/0/start/0/end/0/c"),"רבי דוב בר מייזלש")</f>
        <v>רבי דוב בר מייזלש</v>
      </c>
      <c r="H600" t="str">
        <f>_xlfn.CONCAT("https://tablet.otzar.org/",CHAR(35),"/book/156203/p/-1/t/1/fs/0/start/0/end/0/c")</f>
        <v>https://tablet.otzar.org/#/book/156203/p/-1/t/1/fs/0/start/0/end/0/c</v>
      </c>
    </row>
    <row r="601" spans="1:8" x14ac:dyDescent="0.25">
      <c r="A601">
        <v>157372</v>
      </c>
      <c r="B601" t="s">
        <v>1202</v>
      </c>
      <c r="C601" t="s">
        <v>1203</v>
      </c>
      <c r="D601" t="s">
        <v>10</v>
      </c>
      <c r="E601" t="s">
        <v>208</v>
      </c>
      <c r="F601" t="s">
        <v>12</v>
      </c>
      <c r="G601" t="str">
        <f>HYPERLINK(_xlfn.CONCAT("https://tablet.otzar.org/",CHAR(35),"/book/157372/p/-1/t/1/fs/0/start/0/end/0/c"),"רבי זרחיה הלוי בעל המאור ובני חוגו")</f>
        <v>רבי זרחיה הלוי בעל המאור ובני חוגו</v>
      </c>
      <c r="H601" t="str">
        <f>_xlfn.CONCAT("https://tablet.otzar.org/",CHAR(35),"/book/157372/p/-1/t/1/fs/0/start/0/end/0/c")</f>
        <v>https://tablet.otzar.org/#/book/157372/p/-1/t/1/fs/0/start/0/end/0/c</v>
      </c>
    </row>
    <row r="602" spans="1:8" x14ac:dyDescent="0.25">
      <c r="A602">
        <v>157334</v>
      </c>
      <c r="B602" t="s">
        <v>1204</v>
      </c>
      <c r="C602" t="s">
        <v>1205</v>
      </c>
      <c r="D602" t="s">
        <v>10</v>
      </c>
      <c r="E602" t="s">
        <v>944</v>
      </c>
      <c r="F602" t="s">
        <v>12</v>
      </c>
      <c r="G602" t="str">
        <f>HYPERLINK(_xlfn.CONCAT("https://tablet.otzar.org/",CHAR(35),"/book/157334/p/-1/t/1/fs/0/start/0/end/0/c"),"רבי חיים אבן עטר")</f>
        <v>רבי חיים אבן עטר</v>
      </c>
      <c r="H602" t="str">
        <f>_xlfn.CONCAT("https://tablet.otzar.org/",CHAR(35),"/book/157334/p/-1/t/1/fs/0/start/0/end/0/c")</f>
        <v>https://tablet.otzar.org/#/book/157334/p/-1/t/1/fs/0/start/0/end/0/c</v>
      </c>
    </row>
    <row r="603" spans="1:8" x14ac:dyDescent="0.25">
      <c r="A603">
        <v>156231</v>
      </c>
      <c r="B603" t="s">
        <v>1206</v>
      </c>
      <c r="C603" t="s">
        <v>1207</v>
      </c>
      <c r="D603" t="s">
        <v>10</v>
      </c>
      <c r="E603" t="s">
        <v>592</v>
      </c>
      <c r="F603" t="s">
        <v>12</v>
      </c>
      <c r="G603" t="str">
        <f>HYPERLINK(_xlfn.CONCAT("https://tablet.otzar.org/",CHAR(35),"/book/156231/p/-1/t/1/fs/0/start/0/end/0/c"),"רבי חיים ב""""ר בצלאל מפרידברג")</f>
        <v>רבי חיים ב""ר בצלאל מפרידברג</v>
      </c>
      <c r="H603" t="str">
        <f>_xlfn.CONCAT("https://tablet.otzar.org/",CHAR(35),"/book/156231/p/-1/t/1/fs/0/start/0/end/0/c")</f>
        <v>https://tablet.otzar.org/#/book/156231/p/-1/t/1/fs/0/start/0/end/0/c</v>
      </c>
    </row>
    <row r="604" spans="1:8" x14ac:dyDescent="0.25">
      <c r="A604">
        <v>155148</v>
      </c>
      <c r="B604" t="s">
        <v>1208</v>
      </c>
      <c r="C604" t="s">
        <v>840</v>
      </c>
      <c r="D604" t="s">
        <v>10</v>
      </c>
      <c r="E604" t="s">
        <v>471</v>
      </c>
      <c r="F604" t="s">
        <v>12</v>
      </c>
      <c r="G604" t="str">
        <f>HYPERLINK(_xlfn.CONCAT("https://tablet.otzar.org/",CHAR(35),"/exKotar/155148"),"רבי חיים יוסף דוד אזולאי - 2 כרכים")</f>
        <v>רבי חיים יוסף דוד אזולאי - 2 כרכים</v>
      </c>
      <c r="H604" t="str">
        <f>_xlfn.CONCAT("https://tablet.otzar.org/",CHAR(35),"/exKotar/155148")</f>
        <v>https://tablet.otzar.org/#/exKotar/155148</v>
      </c>
    </row>
    <row r="605" spans="1:8" x14ac:dyDescent="0.25">
      <c r="A605">
        <v>156206</v>
      </c>
      <c r="B605" t="s">
        <v>1209</v>
      </c>
      <c r="C605" t="s">
        <v>1210</v>
      </c>
      <c r="D605" t="s">
        <v>10</v>
      </c>
      <c r="E605" t="s">
        <v>388</v>
      </c>
      <c r="F605" t="s">
        <v>12</v>
      </c>
      <c r="G605" t="str">
        <f>HYPERLINK(_xlfn.CONCAT("https://tablet.otzar.org/",CHAR(35),"/book/156206/p/-1/t/1/fs/0/start/0/end/0/c"),"רבי חיים צבי שניאורסון")</f>
        <v>רבי חיים צבי שניאורסון</v>
      </c>
      <c r="H605" t="str">
        <f>_xlfn.CONCAT("https://tablet.otzar.org/",CHAR(35),"/book/156206/p/-1/t/1/fs/0/start/0/end/0/c")</f>
        <v>https://tablet.otzar.org/#/book/156206/p/-1/t/1/fs/0/start/0/end/0/c</v>
      </c>
    </row>
    <row r="606" spans="1:8" x14ac:dyDescent="0.25">
      <c r="A606">
        <v>156281</v>
      </c>
      <c r="B606" t="s">
        <v>1211</v>
      </c>
      <c r="C606" t="s">
        <v>1212</v>
      </c>
      <c r="D606" t="s">
        <v>10</v>
      </c>
      <c r="E606" t="s">
        <v>926</v>
      </c>
      <c r="F606" t="s">
        <v>12</v>
      </c>
      <c r="G606" t="str">
        <f>HYPERLINK(_xlfn.CONCAT("https://tablet.otzar.org/",CHAR(35),"/book/156281/p/-1/t/1/fs/0/start/0/end/0/c"),"רבי יעקב ששפורטש")</f>
        <v>רבי יעקב ששפורטש</v>
      </c>
      <c r="H606" t="str">
        <f>_xlfn.CONCAT("https://tablet.otzar.org/",CHAR(35),"/book/156281/p/-1/t/1/fs/0/start/0/end/0/c")</f>
        <v>https://tablet.otzar.org/#/book/156281/p/-1/t/1/fs/0/start/0/end/0/c</v>
      </c>
    </row>
    <row r="607" spans="1:8" x14ac:dyDescent="0.25">
      <c r="A607">
        <v>156238</v>
      </c>
      <c r="B607" t="s">
        <v>1213</v>
      </c>
      <c r="C607" t="s">
        <v>1214</v>
      </c>
      <c r="D607" t="s">
        <v>10</v>
      </c>
      <c r="E607" t="s">
        <v>408</v>
      </c>
      <c r="F607" t="s">
        <v>12</v>
      </c>
      <c r="G607" t="str">
        <f>HYPERLINK(_xlfn.CONCAT("https://tablet.otzar.org/",CHAR(35),"/book/156238/p/-1/t/1/fs/0/start/0/end/0/c"),"רבי יצחק בר ששת")</f>
        <v>רבי יצחק בר ששת</v>
      </c>
      <c r="H607" t="str">
        <f>_xlfn.CONCAT("https://tablet.otzar.org/",CHAR(35),"/book/156238/p/-1/t/1/fs/0/start/0/end/0/c")</f>
        <v>https://tablet.otzar.org/#/book/156238/p/-1/t/1/fs/0/start/0/end/0/c</v>
      </c>
    </row>
    <row r="608" spans="1:8" x14ac:dyDescent="0.25">
      <c r="A608">
        <v>155561</v>
      </c>
      <c r="B608" t="s">
        <v>1215</v>
      </c>
      <c r="C608" t="s">
        <v>1216</v>
      </c>
      <c r="D608" t="s">
        <v>10</v>
      </c>
      <c r="E608" t="s">
        <v>54</v>
      </c>
      <c r="F608" t="s">
        <v>12</v>
      </c>
      <c r="G608" t="str">
        <f>HYPERLINK(_xlfn.CONCAT("https://tablet.otzar.org/",CHAR(35),"/book/155561/p/-1/t/1/fs/0/start/0/end/0/c"),"רבי מנחם מנדל מקוצק")</f>
        <v>רבי מנחם מנדל מקוצק</v>
      </c>
      <c r="H608" t="str">
        <f>_xlfn.CONCAT("https://tablet.otzar.org/",CHAR(35),"/book/155561/p/-1/t/1/fs/0/start/0/end/0/c")</f>
        <v>https://tablet.otzar.org/#/book/155561/p/-1/t/1/fs/0/start/0/end/0/c</v>
      </c>
    </row>
    <row r="609" spans="1:8" x14ac:dyDescent="0.25">
      <c r="A609">
        <v>155518</v>
      </c>
      <c r="B609" t="s">
        <v>1217</v>
      </c>
      <c r="C609" t="s">
        <v>14</v>
      </c>
      <c r="D609" t="s">
        <v>10</v>
      </c>
      <c r="E609" t="s">
        <v>405</v>
      </c>
      <c r="F609" t="s">
        <v>12</v>
      </c>
      <c r="G609" t="str">
        <f>HYPERLINK(_xlfn.CONCAT("https://tablet.otzar.org/",CHAR(35),"/book/155518/p/-1/t/1/fs/0/start/0/end/0/c"),"רבי משה בן מימון - תולדות חייו ויצירתו הספרותית")</f>
        <v>רבי משה בן מימון - תולדות חייו ויצירתו הספרותית</v>
      </c>
      <c r="H609" t="str">
        <f>_xlfn.CONCAT("https://tablet.otzar.org/",CHAR(35),"/book/155518/p/-1/t/1/fs/0/start/0/end/0/c")</f>
        <v>https://tablet.otzar.org/#/book/155518/p/-1/t/1/fs/0/start/0/end/0/c</v>
      </c>
    </row>
    <row r="610" spans="1:8" x14ac:dyDescent="0.25">
      <c r="A610">
        <v>156201</v>
      </c>
      <c r="B610" t="s">
        <v>1218</v>
      </c>
      <c r="C610" t="s">
        <v>1219</v>
      </c>
      <c r="D610" t="s">
        <v>10</v>
      </c>
      <c r="E610" t="s">
        <v>265</v>
      </c>
      <c r="F610" t="s">
        <v>12</v>
      </c>
      <c r="G610" t="str">
        <f>HYPERLINK(_xlfn.CONCAT("https://tablet.otzar.org/",CHAR(35),"/book/156201/p/-1/t/1/fs/0/start/0/end/0/c"),"רבי נפתלי מרופשיטץ")</f>
        <v>רבי נפתלי מרופשיטץ</v>
      </c>
      <c r="H610" t="str">
        <f>_xlfn.CONCAT("https://tablet.otzar.org/",CHAR(35),"/book/156201/p/-1/t/1/fs/0/start/0/end/0/c")</f>
        <v>https://tablet.otzar.org/#/book/156201/p/-1/t/1/fs/0/start/0/end/0/c</v>
      </c>
    </row>
    <row r="611" spans="1:8" x14ac:dyDescent="0.25">
      <c r="A611">
        <v>158972</v>
      </c>
      <c r="B611" t="s">
        <v>1220</v>
      </c>
      <c r="C611" t="s">
        <v>1221</v>
      </c>
      <c r="D611" t="s">
        <v>10</v>
      </c>
      <c r="E611" t="s">
        <v>1222</v>
      </c>
      <c r="F611" t="s">
        <v>12</v>
      </c>
      <c r="G611" t="str">
        <f>HYPERLINK(_xlfn.CONCAT("https://tablet.otzar.org/",CHAR(35),"/book/158972/p/-1/t/1/fs/0/start/0/end/0/c"),"רבי עקיבא יוסף שלזינגר")</f>
        <v>רבי עקיבא יוסף שלזינגר</v>
      </c>
      <c r="H611" t="str">
        <f>_xlfn.CONCAT("https://tablet.otzar.org/",CHAR(35),"/book/158972/p/-1/t/1/fs/0/start/0/end/0/c")</f>
        <v>https://tablet.otzar.org/#/book/158972/p/-1/t/1/fs/0/start/0/end/0/c</v>
      </c>
    </row>
    <row r="612" spans="1:8" x14ac:dyDescent="0.25">
      <c r="A612">
        <v>156272</v>
      </c>
      <c r="B612" t="s">
        <v>1223</v>
      </c>
      <c r="C612" t="s">
        <v>1224</v>
      </c>
      <c r="D612" t="s">
        <v>10</v>
      </c>
      <c r="E612" t="s">
        <v>32</v>
      </c>
      <c r="F612" t="s">
        <v>123</v>
      </c>
      <c r="G612" t="str">
        <f>HYPERLINK(_xlfn.CONCAT("https://tablet.otzar.org/",CHAR(35),"/book/156272/p/-1/t/1/fs/0/start/0/end/0/c"),"רבינו אפרים")</f>
        <v>רבינו אפרים</v>
      </c>
      <c r="H612" t="str">
        <f>_xlfn.CONCAT("https://tablet.otzar.org/",CHAR(35),"/book/156272/p/-1/t/1/fs/0/start/0/end/0/c")</f>
        <v>https://tablet.otzar.org/#/book/156272/p/-1/t/1/fs/0/start/0/end/0/c</v>
      </c>
    </row>
    <row r="613" spans="1:8" x14ac:dyDescent="0.25">
      <c r="A613">
        <v>155141</v>
      </c>
      <c r="B613" t="s">
        <v>1225</v>
      </c>
      <c r="C613" t="s">
        <v>649</v>
      </c>
      <c r="D613" t="s">
        <v>10</v>
      </c>
      <c r="E613" t="s">
        <v>22</v>
      </c>
      <c r="F613" t="s">
        <v>19</v>
      </c>
      <c r="G613" t="str">
        <f>HYPERLINK(_xlfn.CONCAT("https://tablet.otzar.org/",CHAR(35),"/exKotar/155141"),"רבינו בחיי על התורה &lt;מוה""""ק&gt;  - 3 כרכים")</f>
        <v>רבינו בחיי על התורה &lt;מוה""ק&gt;  - 3 כרכים</v>
      </c>
      <c r="H613" t="str">
        <f>_xlfn.CONCAT("https://tablet.otzar.org/",CHAR(35),"/exKotar/155141")</f>
        <v>https://tablet.otzar.org/#/exKotar/155141</v>
      </c>
    </row>
    <row r="614" spans="1:8" x14ac:dyDescent="0.25">
      <c r="A614">
        <v>155303</v>
      </c>
      <c r="B614" t="s">
        <v>1226</v>
      </c>
      <c r="C614" t="s">
        <v>972</v>
      </c>
      <c r="D614" t="s">
        <v>10</v>
      </c>
      <c r="E614" t="s">
        <v>54</v>
      </c>
      <c r="F614" t="s">
        <v>12</v>
      </c>
      <c r="G614" t="str">
        <f>HYPERLINK(_xlfn.CONCAT("https://tablet.otzar.org/",CHAR(35),"/book/155303/p/-1/t/1/fs/0/start/0/end/0/c"),"רבנו משה בן נחמן - תולדות חייו, זמנו וחיבוריו")</f>
        <v>רבנו משה בן נחמן - תולדות חייו, זמנו וחיבוריו</v>
      </c>
      <c r="H614" t="str">
        <f>_xlfn.CONCAT("https://tablet.otzar.org/",CHAR(35),"/book/155303/p/-1/t/1/fs/0/start/0/end/0/c")</f>
        <v>https://tablet.otzar.org/#/book/155303/p/-1/t/1/fs/0/start/0/end/0/c</v>
      </c>
    </row>
    <row r="615" spans="1:8" x14ac:dyDescent="0.25">
      <c r="A615">
        <v>155068</v>
      </c>
      <c r="B615" t="s">
        <v>1227</v>
      </c>
      <c r="C615" t="s">
        <v>1228</v>
      </c>
      <c r="D615" t="s">
        <v>10</v>
      </c>
      <c r="E615" t="s">
        <v>592</v>
      </c>
      <c r="F615" t="s">
        <v>12</v>
      </c>
      <c r="G615" t="str">
        <f>HYPERLINK(_xlfn.CONCAT("https://tablet.otzar.org/",CHAR(35),"/book/155068/p/-1/t/1/fs/0/start/0/end/0/c"),"רבנו עובדיה מברטנורא")</f>
        <v>רבנו עובדיה מברטנורא</v>
      </c>
      <c r="H615" t="str">
        <f>_xlfn.CONCAT("https://tablet.otzar.org/",CHAR(35),"/book/155068/p/-1/t/1/fs/0/start/0/end/0/c")</f>
        <v>https://tablet.otzar.org/#/book/155068/p/-1/t/1/fs/0/start/0/end/0/c</v>
      </c>
    </row>
    <row r="616" spans="1:8" x14ac:dyDescent="0.25">
      <c r="A616">
        <v>156237</v>
      </c>
      <c r="B616" t="s">
        <v>1229</v>
      </c>
      <c r="C616" t="s">
        <v>1230</v>
      </c>
      <c r="D616" t="s">
        <v>10</v>
      </c>
      <c r="E616" t="s">
        <v>36</v>
      </c>
      <c r="F616" t="s">
        <v>12</v>
      </c>
      <c r="G616" t="str">
        <f>HYPERLINK(_xlfn.CONCAT("https://tablet.otzar.org/",CHAR(35),"/book/156237/p/-1/t/1/fs/0/start/0/end/0/c"),"רבני פרנקפורט")</f>
        <v>רבני פרנקפורט</v>
      </c>
      <c r="H616" t="str">
        <f>_xlfn.CONCAT("https://tablet.otzar.org/",CHAR(35),"/book/156237/p/-1/t/1/fs/0/start/0/end/0/c")</f>
        <v>https://tablet.otzar.org/#/book/156237/p/-1/t/1/fs/0/start/0/end/0/c</v>
      </c>
    </row>
    <row r="617" spans="1:8" x14ac:dyDescent="0.25">
      <c r="A617">
        <v>688802</v>
      </c>
      <c r="B617" t="s">
        <v>1231</v>
      </c>
      <c r="C617" t="s">
        <v>434</v>
      </c>
      <c r="D617" t="s">
        <v>10</v>
      </c>
      <c r="E617" t="s">
        <v>62</v>
      </c>
      <c r="G617" t="str">
        <f>HYPERLINK(_xlfn.CONCAT("https://tablet.otzar.org/",CHAR(35),"/book/688802/p/-1/t/1/fs/0/start/0/end/0/c"),"רי""""ף מסכת ברכות")</f>
        <v>רי""ף מסכת ברכות</v>
      </c>
      <c r="H617" t="str">
        <f>_xlfn.CONCAT("https://tablet.otzar.org/",CHAR(35),"/book/688802/p/-1/t/1/fs/0/start/0/end/0/c")</f>
        <v>https://tablet.otzar.org/#/book/688802/p/-1/t/1/fs/0/start/0/end/0/c</v>
      </c>
    </row>
    <row r="618" spans="1:8" x14ac:dyDescent="0.25">
      <c r="A618">
        <v>180346</v>
      </c>
      <c r="B618" t="s">
        <v>1232</v>
      </c>
      <c r="C618" t="s">
        <v>1233</v>
      </c>
      <c r="D618" t="s">
        <v>10</v>
      </c>
      <c r="E618" t="s">
        <v>72</v>
      </c>
      <c r="F618" t="s">
        <v>55</v>
      </c>
      <c r="G618" t="str">
        <f>HYPERLINK(_xlfn.CONCAT("https://tablet.otzar.org/",CHAR(35),"/book/180346/p/-1/t/1/fs/0/start/0/end/0/c"),"רינת האמונה")</f>
        <v>רינת האמונה</v>
      </c>
      <c r="H618" t="str">
        <f>_xlfn.CONCAT("https://tablet.otzar.org/",CHAR(35),"/book/180346/p/-1/t/1/fs/0/start/0/end/0/c")</f>
        <v>https://tablet.otzar.org/#/book/180346/p/-1/t/1/fs/0/start/0/end/0/c</v>
      </c>
    </row>
    <row r="619" spans="1:8" x14ac:dyDescent="0.25">
      <c r="A619">
        <v>647306</v>
      </c>
      <c r="B619" t="s">
        <v>1234</v>
      </c>
      <c r="C619" t="s">
        <v>1233</v>
      </c>
      <c r="D619" t="s">
        <v>10</v>
      </c>
      <c r="E619" t="s">
        <v>49</v>
      </c>
      <c r="F619" t="s">
        <v>397</v>
      </c>
      <c r="G619" t="str">
        <f>HYPERLINK(_xlfn.CONCAT("https://tablet.otzar.org/",CHAR(35),"/book/647306/p/-1/t/1/fs/0/start/0/end/0/c"),"רינת התשובה")</f>
        <v>רינת התשובה</v>
      </c>
      <c r="H619" t="str">
        <f>_xlfn.CONCAT("https://tablet.otzar.org/",CHAR(35),"/book/647306/p/-1/t/1/fs/0/start/0/end/0/c")</f>
        <v>https://tablet.otzar.org/#/book/647306/p/-1/t/1/fs/0/start/0/end/0/c</v>
      </c>
    </row>
    <row r="620" spans="1:8" x14ac:dyDescent="0.25">
      <c r="A620">
        <v>155258</v>
      </c>
      <c r="B620" t="s">
        <v>1235</v>
      </c>
      <c r="C620" t="s">
        <v>1236</v>
      </c>
      <c r="D620" t="s">
        <v>10</v>
      </c>
      <c r="E620" t="s">
        <v>622</v>
      </c>
      <c r="F620" t="s">
        <v>218</v>
      </c>
      <c r="G620" t="str">
        <f>HYPERLINK(_xlfn.CONCAT("https://tablet.otzar.org/",CHAR(35),"/book/155258/p/-1/t/1/fs/0/start/0/end/0/c"),"רש""""י - הפירוש לתלמוד")</f>
        <v>רש""י - הפירוש לתלמוד</v>
      </c>
      <c r="H620" t="str">
        <f>_xlfn.CONCAT("https://tablet.otzar.org/",CHAR(35),"/book/155258/p/-1/t/1/fs/0/start/0/end/0/c")</f>
        <v>https://tablet.otzar.org/#/book/155258/p/-1/t/1/fs/0/start/0/end/0/c</v>
      </c>
    </row>
    <row r="621" spans="1:8" x14ac:dyDescent="0.25">
      <c r="A621">
        <v>155108</v>
      </c>
      <c r="B621" t="s">
        <v>1237</v>
      </c>
      <c r="C621" t="s">
        <v>1238</v>
      </c>
      <c r="D621" t="s">
        <v>10</v>
      </c>
      <c r="E621" t="s">
        <v>1239</v>
      </c>
      <c r="F621" t="s">
        <v>85</v>
      </c>
      <c r="G621" t="str">
        <f>HYPERLINK(_xlfn.CONCAT("https://tablet.otzar.org/",CHAR(35),"/exKotar/155108"),"שאילתות דרב אחאי גאון &lt;העמק שאלה&gt;  - 3 כרכים")</f>
        <v>שאילתות דרב אחאי גאון &lt;העמק שאלה&gt;  - 3 כרכים</v>
      </c>
      <c r="H621" t="str">
        <f>_xlfn.CONCAT("https://tablet.otzar.org/",CHAR(35),"/exKotar/155108")</f>
        <v>https://tablet.otzar.org/#/exKotar/155108</v>
      </c>
    </row>
    <row r="622" spans="1:8" x14ac:dyDescent="0.25">
      <c r="A622">
        <v>622911</v>
      </c>
      <c r="B622" t="s">
        <v>1240</v>
      </c>
      <c r="C622" t="s">
        <v>1241</v>
      </c>
      <c r="D622" t="s">
        <v>10</v>
      </c>
      <c r="E622" t="s">
        <v>43</v>
      </c>
      <c r="F622" t="s">
        <v>232</v>
      </c>
      <c r="G622" t="str">
        <f>HYPERLINK(_xlfn.CONCAT("https://tablet.otzar.org/",CHAR(35),"/book/622911/p/-1/t/1/fs/0/start/0/end/0/c"),"שבחי ארץ החיים &lt;מהדורה חדשה&gt;")</f>
        <v>שבחי ארץ החיים &lt;מהדורה חדשה&gt;</v>
      </c>
      <c r="H622" t="str">
        <f>_xlfn.CONCAT("https://tablet.otzar.org/",CHAR(35),"/book/622911/p/-1/t/1/fs/0/start/0/end/0/c")</f>
        <v>https://tablet.otzar.org/#/book/622911/p/-1/t/1/fs/0/start/0/end/0/c</v>
      </c>
    </row>
    <row r="623" spans="1:8" x14ac:dyDescent="0.25">
      <c r="A623">
        <v>156271</v>
      </c>
      <c r="B623" t="s">
        <v>1242</v>
      </c>
      <c r="C623" t="s">
        <v>1243</v>
      </c>
      <c r="D623" t="s">
        <v>10</v>
      </c>
      <c r="E623" t="s">
        <v>58</v>
      </c>
      <c r="F623" t="s">
        <v>123</v>
      </c>
      <c r="G623" t="str">
        <f>HYPERLINK(_xlfn.CONCAT("https://tablet.otzar.org/",CHAR(35),"/book/156271/p/-1/t/1/fs/0/start/0/end/0/c"),"שבט מיהודה")</f>
        <v>שבט מיהודה</v>
      </c>
      <c r="H623" t="str">
        <f>_xlfn.CONCAT("https://tablet.otzar.org/",CHAR(35),"/book/156271/p/-1/t/1/fs/0/start/0/end/0/c")</f>
        <v>https://tablet.otzar.org/#/book/156271/p/-1/t/1/fs/0/start/0/end/0/c</v>
      </c>
    </row>
    <row r="624" spans="1:8" x14ac:dyDescent="0.25">
      <c r="A624">
        <v>174422</v>
      </c>
      <c r="B624" t="s">
        <v>1244</v>
      </c>
      <c r="C624" t="s">
        <v>1245</v>
      </c>
      <c r="D624" t="s">
        <v>10</v>
      </c>
      <c r="E624" t="s">
        <v>72</v>
      </c>
      <c r="F624" t="s">
        <v>23</v>
      </c>
      <c r="G624" t="str">
        <f>HYPERLINK(_xlfn.CONCAT("https://tablet.otzar.org/",CHAR(35),"/book/174422/p/-1/t/1/fs/0/start/0/end/0/c"),"שבילי ניסן")</f>
        <v>שבילי ניסן</v>
      </c>
      <c r="H624" t="str">
        <f>_xlfn.CONCAT("https://tablet.otzar.org/",CHAR(35),"/book/174422/p/-1/t/1/fs/0/start/0/end/0/c")</f>
        <v>https://tablet.otzar.org/#/book/174422/p/-1/t/1/fs/0/start/0/end/0/c</v>
      </c>
    </row>
    <row r="625" spans="1:8" x14ac:dyDescent="0.25">
      <c r="A625">
        <v>174417</v>
      </c>
      <c r="B625" t="s">
        <v>1246</v>
      </c>
      <c r="C625" t="s">
        <v>1247</v>
      </c>
      <c r="D625" t="s">
        <v>10</v>
      </c>
      <c r="E625" t="s">
        <v>72</v>
      </c>
      <c r="F625" t="s">
        <v>218</v>
      </c>
      <c r="G625" t="str">
        <f>HYPERLINK(_xlfn.CONCAT("https://tablet.otzar.org/",CHAR(35),"/book/174417/p/-1/t/1/fs/0/start/0/end/0/c"),"שבעים פנים לתורה")</f>
        <v>שבעים פנים לתורה</v>
      </c>
      <c r="H625" t="str">
        <f>_xlfn.CONCAT("https://tablet.otzar.org/",CHAR(35),"/book/174417/p/-1/t/1/fs/0/start/0/end/0/c")</f>
        <v>https://tablet.otzar.org/#/book/174417/p/-1/t/1/fs/0/start/0/end/0/c</v>
      </c>
    </row>
    <row r="626" spans="1:8" x14ac:dyDescent="0.25">
      <c r="A626">
        <v>154974</v>
      </c>
      <c r="B626" t="s">
        <v>1248</v>
      </c>
      <c r="C626" t="s">
        <v>21</v>
      </c>
      <c r="D626" t="s">
        <v>10</v>
      </c>
      <c r="E626" t="s">
        <v>208</v>
      </c>
      <c r="F626" t="s">
        <v>85</v>
      </c>
      <c r="G626" t="str">
        <f>HYPERLINK(_xlfn.CONCAT("https://tablet.otzar.org/",CHAR(35),"/book/154974/p/-1/t/1/fs/0/start/0/end/0/c"),"שבת הארץ")</f>
        <v>שבת הארץ</v>
      </c>
      <c r="H626" t="str">
        <f>_xlfn.CONCAT("https://tablet.otzar.org/",CHAR(35),"/book/154974/p/-1/t/1/fs/0/start/0/end/0/c")</f>
        <v>https://tablet.otzar.org/#/book/154974/p/-1/t/1/fs/0/start/0/end/0/c</v>
      </c>
    </row>
    <row r="627" spans="1:8" x14ac:dyDescent="0.25">
      <c r="A627">
        <v>157363</v>
      </c>
      <c r="B627" t="s">
        <v>1249</v>
      </c>
      <c r="C627" t="s">
        <v>635</v>
      </c>
      <c r="D627" t="s">
        <v>10</v>
      </c>
      <c r="E627" t="s">
        <v>636</v>
      </c>
      <c r="F627" t="s">
        <v>59</v>
      </c>
      <c r="G627" t="str">
        <f>HYPERLINK(_xlfn.CONCAT("https://tablet.otzar.org/",CHAR(35),"/book/157363/p/-1/t/1/fs/0/start/0/end/0/c"),"שו""""ת בית רידב""""ז")</f>
        <v>שו""ת בית רידב""ז</v>
      </c>
      <c r="H627" t="str">
        <f>_xlfn.CONCAT("https://tablet.otzar.org/",CHAR(35),"/book/157363/p/-1/t/1/fs/0/start/0/end/0/c")</f>
        <v>https://tablet.otzar.org/#/book/157363/p/-1/t/1/fs/0/start/0/end/0/c</v>
      </c>
    </row>
    <row r="628" spans="1:8" x14ac:dyDescent="0.25">
      <c r="A628">
        <v>606728</v>
      </c>
      <c r="B628" t="s">
        <v>1250</v>
      </c>
      <c r="C628" t="s">
        <v>1251</v>
      </c>
      <c r="D628" t="s">
        <v>10</v>
      </c>
      <c r="E628" t="s">
        <v>100</v>
      </c>
      <c r="F628" t="s">
        <v>19</v>
      </c>
      <c r="G628" t="str">
        <f>HYPERLINK(_xlfn.CONCAT("https://tablet.otzar.org/",CHAR(35),"/book/606728/p/-1/t/1/fs/0/start/0/end/0/c"),"שו""""ת הפרשה")</f>
        <v>שו""ת הפרשה</v>
      </c>
      <c r="H628" t="str">
        <f>_xlfn.CONCAT("https://tablet.otzar.org/",CHAR(35),"/book/606728/p/-1/t/1/fs/0/start/0/end/0/c")</f>
        <v>https://tablet.otzar.org/#/book/606728/p/-1/t/1/fs/0/start/0/end/0/c</v>
      </c>
    </row>
    <row r="629" spans="1:8" x14ac:dyDescent="0.25">
      <c r="A629">
        <v>154946</v>
      </c>
      <c r="B629" t="s">
        <v>1252</v>
      </c>
      <c r="C629" t="s">
        <v>541</v>
      </c>
      <c r="D629" t="s">
        <v>10</v>
      </c>
      <c r="E629" t="s">
        <v>347</v>
      </c>
      <c r="F629" t="s">
        <v>59</v>
      </c>
      <c r="G629" t="str">
        <f>HYPERLINK(_xlfn.CONCAT("https://tablet.otzar.org/",CHAR(35),"/book/154946/p/-1/t/1/fs/0/start/0/end/0/c"),"שו""""ת הריטב""""א")</f>
        <v>שו""ת הריטב""א</v>
      </c>
      <c r="H629" t="str">
        <f>_xlfn.CONCAT("https://tablet.otzar.org/",CHAR(35),"/book/154946/p/-1/t/1/fs/0/start/0/end/0/c")</f>
        <v>https://tablet.otzar.org/#/book/154946/p/-1/t/1/fs/0/start/0/end/0/c</v>
      </c>
    </row>
    <row r="630" spans="1:8" x14ac:dyDescent="0.25">
      <c r="A630">
        <v>156440</v>
      </c>
      <c r="B630" t="s">
        <v>1253</v>
      </c>
      <c r="C630" t="s">
        <v>1254</v>
      </c>
      <c r="D630" t="s">
        <v>10</v>
      </c>
      <c r="E630" t="s">
        <v>240</v>
      </c>
      <c r="F630" t="s">
        <v>59</v>
      </c>
      <c r="G630" t="str">
        <f>HYPERLINK(_xlfn.CONCAT("https://tablet.otzar.org/",CHAR(35),"/book/156440/p/-1/t/1/fs/0/start/0/end/0/c"),"שו""""ת מהר""""ש מוהליבר")</f>
        <v>שו""ת מהר""ש מוהליבר</v>
      </c>
      <c r="H630" t="str">
        <f>_xlfn.CONCAT("https://tablet.otzar.org/",CHAR(35),"/book/156440/p/-1/t/1/fs/0/start/0/end/0/c")</f>
        <v>https://tablet.otzar.org/#/book/156440/p/-1/t/1/fs/0/start/0/end/0/c</v>
      </c>
    </row>
    <row r="631" spans="1:8" x14ac:dyDescent="0.25">
      <c r="A631">
        <v>155535</v>
      </c>
      <c r="B631" t="s">
        <v>1255</v>
      </c>
      <c r="C631" t="s">
        <v>1256</v>
      </c>
      <c r="D631" t="s">
        <v>10</v>
      </c>
      <c r="E631" t="s">
        <v>180</v>
      </c>
      <c r="F631" t="s">
        <v>59</v>
      </c>
      <c r="G631" t="str">
        <f>HYPERLINK(_xlfn.CONCAT("https://tablet.otzar.org/",CHAR(35),"/book/155535/p/-1/t/1/fs/0/start/0/end/0/c"),"שו""""ת מן השמים &lt;עם הערות הגר""""ר מרגליות&gt;")</f>
        <v>שו""ת מן השמים &lt;עם הערות הגר""ר מרגליות&gt;</v>
      </c>
      <c r="H631" t="str">
        <f>_xlfn.CONCAT("https://tablet.otzar.org/",CHAR(35),"/book/155535/p/-1/t/1/fs/0/start/0/end/0/c")</f>
        <v>https://tablet.otzar.org/#/book/155535/p/-1/t/1/fs/0/start/0/end/0/c</v>
      </c>
    </row>
    <row r="632" spans="1:8" x14ac:dyDescent="0.25">
      <c r="A632">
        <v>157317</v>
      </c>
      <c r="B632" t="s">
        <v>1257</v>
      </c>
      <c r="C632" t="s">
        <v>1258</v>
      </c>
      <c r="D632" t="s">
        <v>10</v>
      </c>
      <c r="E632" t="s">
        <v>80</v>
      </c>
      <c r="F632" t="s">
        <v>59</v>
      </c>
      <c r="G632" t="str">
        <f>HYPERLINK(_xlfn.CONCAT("https://tablet.otzar.org/",CHAR(35),"/exKotar/157317"),"שו""""ת רבי שלמה איגר - 3 כרכים")</f>
        <v>שו""ת רבי שלמה איגר - 3 כרכים</v>
      </c>
      <c r="H632" t="str">
        <f>_xlfn.CONCAT("https://tablet.otzar.org/",CHAR(35),"/exKotar/157317")</f>
        <v>https://tablet.otzar.org/#/exKotar/157317</v>
      </c>
    </row>
    <row r="633" spans="1:8" x14ac:dyDescent="0.25">
      <c r="A633">
        <v>157362</v>
      </c>
      <c r="B633" t="s">
        <v>1259</v>
      </c>
      <c r="C633" t="s">
        <v>635</v>
      </c>
      <c r="D633" t="s">
        <v>10</v>
      </c>
      <c r="E633" t="s">
        <v>636</v>
      </c>
      <c r="F633" t="s">
        <v>59</v>
      </c>
      <c r="G633" t="str">
        <f>HYPERLINK(_xlfn.CONCAT("https://tablet.otzar.org/",CHAR(35),"/book/157362/p/-1/t/1/fs/0/start/0/end/0/c"),"שו""""ת רידב""""ז")</f>
        <v>שו""ת רידב""ז</v>
      </c>
      <c r="H633" t="str">
        <f>_xlfn.CONCAT("https://tablet.otzar.org/",CHAR(35),"/book/157362/p/-1/t/1/fs/0/start/0/end/0/c")</f>
        <v>https://tablet.otzar.org/#/book/157362/p/-1/t/1/fs/0/start/0/end/0/c</v>
      </c>
    </row>
    <row r="634" spans="1:8" x14ac:dyDescent="0.25">
      <c r="A634">
        <v>156301</v>
      </c>
      <c r="B634" t="s">
        <v>1260</v>
      </c>
      <c r="C634" t="s">
        <v>1261</v>
      </c>
      <c r="D634" t="s">
        <v>10</v>
      </c>
      <c r="E634" t="s">
        <v>240</v>
      </c>
      <c r="F634" t="s">
        <v>251</v>
      </c>
      <c r="G634" t="str">
        <f>HYPERLINK(_xlfn.CONCAT("https://tablet.otzar.org/",CHAR(35),"/book/156301/p/-1/t/1/fs/0/start/0/end/0/c"),"שובה ישראל")</f>
        <v>שובה ישראל</v>
      </c>
      <c r="H634" t="str">
        <f>_xlfn.CONCAT("https://tablet.otzar.org/",CHAR(35),"/book/156301/p/-1/t/1/fs/0/start/0/end/0/c")</f>
        <v>https://tablet.otzar.org/#/book/156301/p/-1/t/1/fs/0/start/0/end/0/c</v>
      </c>
    </row>
    <row r="635" spans="1:8" x14ac:dyDescent="0.25">
      <c r="A635">
        <v>169999</v>
      </c>
      <c r="B635" t="s">
        <v>1262</v>
      </c>
      <c r="C635" t="s">
        <v>171</v>
      </c>
      <c r="D635" t="s">
        <v>10</v>
      </c>
      <c r="E635" t="s">
        <v>157</v>
      </c>
      <c r="F635" t="s">
        <v>128</v>
      </c>
      <c r="G635" t="str">
        <f>HYPERLINK(_xlfn.CONCAT("https://tablet.otzar.org/",CHAR(35),"/exKotar/169999"),"שיח שאול - 2 כרכים")</f>
        <v>שיח שאול - 2 כרכים</v>
      </c>
      <c r="H635" t="str">
        <f>_xlfn.CONCAT("https://tablet.otzar.org/",CHAR(35),"/exKotar/169999")</f>
        <v>https://tablet.otzar.org/#/exKotar/169999</v>
      </c>
    </row>
    <row r="636" spans="1:8" x14ac:dyDescent="0.25">
      <c r="A636">
        <v>154793</v>
      </c>
      <c r="B636" t="s">
        <v>1263</v>
      </c>
      <c r="C636" t="s">
        <v>1264</v>
      </c>
      <c r="D636" t="s">
        <v>10</v>
      </c>
      <c r="E636" t="s">
        <v>22</v>
      </c>
      <c r="F636" t="s">
        <v>218</v>
      </c>
      <c r="G636" t="str">
        <f>HYPERLINK(_xlfn.CONCAT("https://tablet.otzar.org/",CHAR(35),"/exKotar/154793"),"שיטה מקובצת &lt;מוה""""ק&gt;  - 17 כרכים")</f>
        <v>שיטה מקובצת &lt;מוה""ק&gt;  - 17 כרכים</v>
      </c>
      <c r="H636" t="str">
        <f>_xlfn.CONCAT("https://tablet.otzar.org/",CHAR(35),"/exKotar/154793")</f>
        <v>https://tablet.otzar.org/#/exKotar/154793</v>
      </c>
    </row>
    <row r="637" spans="1:8" x14ac:dyDescent="0.25">
      <c r="A637">
        <v>174433</v>
      </c>
      <c r="B637" t="s">
        <v>1265</v>
      </c>
      <c r="C637" t="s">
        <v>340</v>
      </c>
      <c r="D637" t="s">
        <v>10</v>
      </c>
      <c r="E637" t="s">
        <v>72</v>
      </c>
      <c r="F637" t="s">
        <v>218</v>
      </c>
      <c r="G637" t="str">
        <f>HYPERLINK(_xlfn.CONCAT("https://tablet.otzar.org/",CHAR(35),"/exKotar/174433"),"שיעורי הגרי""""ד - 3 כרכים")</f>
        <v>שיעורי הגרי""ד - 3 כרכים</v>
      </c>
      <c r="H637" t="str">
        <f>_xlfn.CONCAT("https://tablet.otzar.org/",CHAR(35),"/exKotar/174433")</f>
        <v>https://tablet.otzar.org/#/exKotar/174433</v>
      </c>
    </row>
    <row r="638" spans="1:8" x14ac:dyDescent="0.25">
      <c r="A638">
        <v>155542</v>
      </c>
      <c r="B638" t="s">
        <v>1266</v>
      </c>
      <c r="C638" t="s">
        <v>1267</v>
      </c>
      <c r="D638" t="s">
        <v>10</v>
      </c>
      <c r="E638" t="s">
        <v>347</v>
      </c>
      <c r="F638" t="s">
        <v>218</v>
      </c>
      <c r="G638" t="str">
        <f>HYPERLINK(_xlfn.CONCAT("https://tablet.otzar.org/",CHAR(35),"/book/155542/p/-1/t/1/fs/0/start/0/end/0/c"),"שיעורי ראשי ישיבות ליטא")</f>
        <v>שיעורי ראשי ישיבות ליטא</v>
      </c>
      <c r="H638" t="str">
        <f>_xlfn.CONCAT("https://tablet.otzar.org/",CHAR(35),"/book/155542/p/-1/t/1/fs/0/start/0/end/0/c")</f>
        <v>https://tablet.otzar.org/#/book/155542/p/-1/t/1/fs/0/start/0/end/0/c</v>
      </c>
    </row>
    <row r="639" spans="1:8" x14ac:dyDescent="0.25">
      <c r="A639">
        <v>155215</v>
      </c>
      <c r="B639" t="s">
        <v>1268</v>
      </c>
      <c r="C639" t="s">
        <v>1269</v>
      </c>
      <c r="D639" t="s">
        <v>10</v>
      </c>
      <c r="E639" t="s">
        <v>1055</v>
      </c>
      <c r="F639" t="s">
        <v>218</v>
      </c>
      <c r="G639" t="str">
        <f>HYPERLINK(_xlfn.CONCAT("https://tablet.otzar.org/",CHAR(35),"/book/155215/p/-1/t/1/fs/0/start/0/end/0/c"),"שיעורי רבי שמעון יהודה הכהן שקאפ - נשים, נזיקין")</f>
        <v>שיעורי רבי שמעון יהודה הכהן שקאפ - נשים, נזיקין</v>
      </c>
      <c r="H639" t="str">
        <f>_xlfn.CONCAT("https://tablet.otzar.org/",CHAR(35),"/book/155215/p/-1/t/1/fs/0/start/0/end/0/c")</f>
        <v>https://tablet.otzar.org/#/book/155215/p/-1/t/1/fs/0/start/0/end/0/c</v>
      </c>
    </row>
    <row r="640" spans="1:8" x14ac:dyDescent="0.25">
      <c r="A640">
        <v>647301</v>
      </c>
      <c r="B640" t="s">
        <v>1270</v>
      </c>
      <c r="C640" t="s">
        <v>366</v>
      </c>
      <c r="D640" t="s">
        <v>10</v>
      </c>
      <c r="E640" t="s">
        <v>49</v>
      </c>
      <c r="F640" t="s">
        <v>19</v>
      </c>
      <c r="G640" t="str">
        <f>HYPERLINK(_xlfn.CONCAT("https://tablet.otzar.org/",CHAR(35),"/book/647301/p/-1/t/1/fs/0/start/0/end/0/c"),"שיר השירים עם ביאור עוטה אור &lt;מהדורת מוה""""ק&gt;")</f>
        <v>שיר השירים עם ביאור עוטה אור &lt;מהדורת מוה""ק&gt;</v>
      </c>
      <c r="H640" t="str">
        <f>_xlfn.CONCAT("https://tablet.otzar.org/",CHAR(35),"/book/647301/p/-1/t/1/fs/0/start/0/end/0/c")</f>
        <v>https://tablet.otzar.org/#/book/647301/p/-1/t/1/fs/0/start/0/end/0/c</v>
      </c>
    </row>
    <row r="641" spans="1:8" x14ac:dyDescent="0.25">
      <c r="A641">
        <v>155135</v>
      </c>
      <c r="B641" t="s">
        <v>1271</v>
      </c>
      <c r="C641" t="s">
        <v>1272</v>
      </c>
      <c r="D641" t="s">
        <v>10</v>
      </c>
      <c r="E641" t="s">
        <v>1239</v>
      </c>
      <c r="F641" t="s">
        <v>19</v>
      </c>
      <c r="G641" t="str">
        <f>HYPERLINK(_xlfn.CONCAT("https://tablet.otzar.org/",CHAR(35),"/book/155135/p/-1/t/1/fs/0/start/0/end/0/c"),"שירה של פרשה")</f>
        <v>שירה של פרשה</v>
      </c>
      <c r="H641" t="str">
        <f>_xlfn.CONCAT("https://tablet.otzar.org/",CHAR(35),"/book/155135/p/-1/t/1/fs/0/start/0/end/0/c")</f>
        <v>https://tablet.otzar.org/#/book/155135/p/-1/t/1/fs/0/start/0/end/0/c</v>
      </c>
    </row>
    <row r="642" spans="1:8" x14ac:dyDescent="0.25">
      <c r="A642">
        <v>157335</v>
      </c>
      <c r="B642" t="s">
        <v>1273</v>
      </c>
      <c r="C642" t="s">
        <v>1274</v>
      </c>
      <c r="D642" t="s">
        <v>10</v>
      </c>
      <c r="E642" t="s">
        <v>745</v>
      </c>
      <c r="F642" t="s">
        <v>322</v>
      </c>
      <c r="G642" t="str">
        <f>HYPERLINK(_xlfn.CONCAT("https://tablet.otzar.org/",CHAR(35),"/book/157335/p/-1/t/1/fs/0/start/0/end/0/c"),"שירי היחוד והכבוד")</f>
        <v>שירי היחוד והכבוד</v>
      </c>
      <c r="H642" t="str">
        <f>_xlfn.CONCAT("https://tablet.otzar.org/",CHAR(35),"/book/157335/p/-1/t/1/fs/0/start/0/end/0/c")</f>
        <v>https://tablet.otzar.org/#/book/157335/p/-1/t/1/fs/0/start/0/end/0/c</v>
      </c>
    </row>
    <row r="643" spans="1:8" x14ac:dyDescent="0.25">
      <c r="A643">
        <v>180353</v>
      </c>
      <c r="B643" t="s">
        <v>1275</v>
      </c>
      <c r="C643" t="s">
        <v>800</v>
      </c>
      <c r="D643" t="s">
        <v>10</v>
      </c>
      <c r="E643" t="s">
        <v>394</v>
      </c>
      <c r="F643" t="s">
        <v>1276</v>
      </c>
      <c r="G643" t="str">
        <f>HYPERLINK(_xlfn.CONCAT("https://tablet.otzar.org/",CHAR(35),"/book/180353/p/-1/t/1/fs/0/start/0/end/0/c"),"שירי המנחה")</f>
        <v>שירי המנחה</v>
      </c>
      <c r="H643" t="str">
        <f>_xlfn.CONCAT("https://tablet.otzar.org/",CHAR(35),"/book/180353/p/-1/t/1/fs/0/start/0/end/0/c")</f>
        <v>https://tablet.otzar.org/#/book/180353/p/-1/t/1/fs/0/start/0/end/0/c</v>
      </c>
    </row>
    <row r="644" spans="1:8" x14ac:dyDescent="0.25">
      <c r="A644">
        <v>156288</v>
      </c>
      <c r="B644" t="s">
        <v>1277</v>
      </c>
      <c r="C644" t="s">
        <v>1278</v>
      </c>
      <c r="D644" t="s">
        <v>10</v>
      </c>
      <c r="E644" t="s">
        <v>54</v>
      </c>
      <c r="F644" t="s">
        <v>23</v>
      </c>
      <c r="G644" t="str">
        <f>HYPERLINK(_xlfn.CONCAT("https://tablet.otzar.org/",CHAR(35),"/book/156288/p/-1/t/1/fs/0/start/0/end/0/c"),"שירי זרח הלוי")</f>
        <v>שירי זרח הלוי</v>
      </c>
      <c r="H644" t="str">
        <f>_xlfn.CONCAT("https://tablet.otzar.org/",CHAR(35),"/book/156288/p/-1/t/1/fs/0/start/0/end/0/c")</f>
        <v>https://tablet.otzar.org/#/book/156288/p/-1/t/1/fs/0/start/0/end/0/c</v>
      </c>
    </row>
    <row r="645" spans="1:8" x14ac:dyDescent="0.25">
      <c r="A645">
        <v>158422</v>
      </c>
      <c r="B645" t="s">
        <v>1279</v>
      </c>
      <c r="C645" t="s">
        <v>1280</v>
      </c>
      <c r="D645" t="s">
        <v>10</v>
      </c>
      <c r="E645" t="s">
        <v>1281</v>
      </c>
      <c r="F645" t="s">
        <v>322</v>
      </c>
      <c r="G645" t="str">
        <f>HYPERLINK(_xlfn.CONCAT("https://tablet.otzar.org/",CHAR(35),"/book/158422/p/-1/t/1/fs/0/start/0/end/0/c"),"שיריו ופיוטיו של רב האי גאון")</f>
        <v>שיריו ופיוטיו של רב האי גאון</v>
      </c>
      <c r="H645" t="str">
        <f>_xlfn.CONCAT("https://tablet.otzar.org/",CHAR(35),"/book/158422/p/-1/t/1/fs/0/start/0/end/0/c")</f>
        <v>https://tablet.otzar.org/#/book/158422/p/-1/t/1/fs/0/start/0/end/0/c</v>
      </c>
    </row>
    <row r="646" spans="1:8" x14ac:dyDescent="0.25">
      <c r="A646">
        <v>157321</v>
      </c>
      <c r="B646" t="s">
        <v>1282</v>
      </c>
      <c r="C646" t="s">
        <v>1283</v>
      </c>
      <c r="D646" t="s">
        <v>10</v>
      </c>
      <c r="E646" t="s">
        <v>1284</v>
      </c>
      <c r="F646" t="s">
        <v>23</v>
      </c>
      <c r="G646" t="str">
        <f>HYPERLINK(_xlfn.CONCAT("https://tablet.otzar.org/",CHAR(35),"/book/157321/p/-1/t/1/fs/0/start/0/end/0/c"),"שירים - דונש בן לבראט")</f>
        <v>שירים - דונש בן לבראט</v>
      </c>
      <c r="H646" t="str">
        <f>_xlfn.CONCAT("https://tablet.otzar.org/",CHAR(35),"/book/157321/p/-1/t/1/fs/0/start/0/end/0/c")</f>
        <v>https://tablet.otzar.org/#/book/157321/p/-1/t/1/fs/0/start/0/end/0/c</v>
      </c>
    </row>
    <row r="647" spans="1:8" x14ac:dyDescent="0.25">
      <c r="A647">
        <v>688769</v>
      </c>
      <c r="B647" t="s">
        <v>1285</v>
      </c>
      <c r="C647" t="s">
        <v>1286</v>
      </c>
      <c r="D647" t="s">
        <v>10</v>
      </c>
      <c r="E647" t="s">
        <v>62</v>
      </c>
      <c r="G647" t="str">
        <f>HYPERLINK(_xlfn.CONCAT("https://tablet.otzar.org/",CHAR(35),"/book/688769/p/-1/t/1/fs/0/start/0/end/0/c"),"שלמות הקבלה והמסורה")</f>
        <v>שלמות הקבלה והמסורה</v>
      </c>
      <c r="H647" t="str">
        <f>_xlfn.CONCAT("https://tablet.otzar.org/",CHAR(35),"/book/688769/p/-1/t/1/fs/0/start/0/end/0/c")</f>
        <v>https://tablet.otzar.org/#/book/688769/p/-1/t/1/fs/0/start/0/end/0/c</v>
      </c>
    </row>
    <row r="648" spans="1:8" x14ac:dyDescent="0.25">
      <c r="A648">
        <v>174423</v>
      </c>
      <c r="B648" t="s">
        <v>1287</v>
      </c>
      <c r="C648" t="s">
        <v>1288</v>
      </c>
      <c r="D648" t="s">
        <v>10</v>
      </c>
      <c r="E648" t="s">
        <v>72</v>
      </c>
      <c r="F648" t="s">
        <v>123</v>
      </c>
      <c r="G648" t="str">
        <f>HYPERLINK(_xlfn.CONCAT("https://tablet.otzar.org/",CHAR(35),"/book/174423/p/-1/t/1/fs/0/start/0/end/0/c"),"שלמי מנחם - הלכות שכנים ושכירות פועלים")</f>
        <v>שלמי מנחם - הלכות שכנים ושכירות פועלים</v>
      </c>
      <c r="H648" t="str">
        <f>_xlfn.CONCAT("https://tablet.otzar.org/",CHAR(35),"/book/174423/p/-1/t/1/fs/0/start/0/end/0/c")</f>
        <v>https://tablet.otzar.org/#/book/174423/p/-1/t/1/fs/0/start/0/end/0/c</v>
      </c>
    </row>
    <row r="649" spans="1:8" x14ac:dyDescent="0.25">
      <c r="A649">
        <v>601536</v>
      </c>
      <c r="B649" t="s">
        <v>1289</v>
      </c>
      <c r="C649" t="s">
        <v>1290</v>
      </c>
      <c r="D649" t="s">
        <v>10</v>
      </c>
      <c r="E649" t="s">
        <v>187</v>
      </c>
      <c r="G649" t="str">
        <f>HYPERLINK(_xlfn.CONCAT("https://tablet.otzar.org/",CHAR(35),"/book/601536/p/-1/t/1/fs/0/start/0/end/0/c"),"שלמי שמחה")</f>
        <v>שלמי שמחה</v>
      </c>
      <c r="H649" t="str">
        <f>_xlfn.CONCAT("https://tablet.otzar.org/",CHAR(35),"/book/601536/p/-1/t/1/fs/0/start/0/end/0/c")</f>
        <v>https://tablet.otzar.org/#/book/601536/p/-1/t/1/fs/0/start/0/end/0/c</v>
      </c>
    </row>
    <row r="650" spans="1:8" x14ac:dyDescent="0.25">
      <c r="A650">
        <v>156246</v>
      </c>
      <c r="B650" t="s">
        <v>1291</v>
      </c>
      <c r="C650" t="s">
        <v>1292</v>
      </c>
      <c r="D650" t="s">
        <v>10</v>
      </c>
      <c r="E650" t="s">
        <v>926</v>
      </c>
      <c r="F650" t="s">
        <v>218</v>
      </c>
      <c r="G650" t="str">
        <f>HYPERLINK(_xlfn.CONCAT("https://tablet.otzar.org/",CHAR(35),"/exKotar/156246"),"שם דרך - 2 כרכים")</f>
        <v>שם דרך - 2 כרכים</v>
      </c>
      <c r="H650" t="str">
        <f>_xlfn.CONCAT("https://tablet.otzar.org/",CHAR(35),"/exKotar/156246")</f>
        <v>https://tablet.otzar.org/#/exKotar/156246</v>
      </c>
    </row>
    <row r="651" spans="1:8" x14ac:dyDescent="0.25">
      <c r="A651">
        <v>157004</v>
      </c>
      <c r="B651" t="s">
        <v>1293</v>
      </c>
      <c r="C651" t="s">
        <v>1294</v>
      </c>
      <c r="D651" t="s">
        <v>10</v>
      </c>
      <c r="E651" t="s">
        <v>244</v>
      </c>
      <c r="F651" t="s">
        <v>411</v>
      </c>
      <c r="G651" t="str">
        <f>HYPERLINK(_xlfn.CONCAT("https://tablet.otzar.org/",CHAR(35),"/book/157004/p/-1/t/1/fs/0/start/0/end/0/c"),"שם משמעון")</f>
        <v>שם משמעון</v>
      </c>
      <c r="H651" t="str">
        <f>_xlfn.CONCAT("https://tablet.otzar.org/",CHAR(35),"/book/157004/p/-1/t/1/fs/0/start/0/end/0/c")</f>
        <v>https://tablet.otzar.org/#/book/157004/p/-1/t/1/fs/0/start/0/end/0/c</v>
      </c>
    </row>
    <row r="652" spans="1:8" x14ac:dyDescent="0.25">
      <c r="A652">
        <v>155146</v>
      </c>
      <c r="B652" t="s">
        <v>1295</v>
      </c>
      <c r="C652" t="s">
        <v>462</v>
      </c>
      <c r="D652" t="s">
        <v>10</v>
      </c>
      <c r="E652" t="s">
        <v>383</v>
      </c>
      <c r="F652" t="s">
        <v>218</v>
      </c>
      <c r="G652" t="str">
        <f>HYPERLINK(_xlfn.CONCAT("https://tablet.otzar.org/",CHAR(35),"/book/155146/p/-1/t/1/fs/0/start/0/end/0/c"),"שם עולם")</f>
        <v>שם עולם</v>
      </c>
      <c r="H652" t="str">
        <f>_xlfn.CONCAT("https://tablet.otzar.org/",CHAR(35),"/book/155146/p/-1/t/1/fs/0/start/0/end/0/c")</f>
        <v>https://tablet.otzar.org/#/book/155146/p/-1/t/1/fs/0/start/0/end/0/c</v>
      </c>
    </row>
    <row r="653" spans="1:8" x14ac:dyDescent="0.25">
      <c r="A653">
        <v>155554</v>
      </c>
      <c r="B653" t="s">
        <v>1296</v>
      </c>
      <c r="C653" t="s">
        <v>1297</v>
      </c>
      <c r="D653" t="s">
        <v>10</v>
      </c>
      <c r="E653" t="s">
        <v>636</v>
      </c>
      <c r="F653" t="s">
        <v>19</v>
      </c>
      <c r="G653" t="str">
        <f>HYPERLINK(_xlfn.CONCAT("https://tablet.otzar.org/",CHAR(35),"/book/155554/p/-1/t/1/fs/0/start/0/end/0/c"),"שמואל עם פירוש רש""""י &lt;מוה""""ק&gt;")</f>
        <v>שמואל עם פירוש רש""י &lt;מוה""ק&gt;</v>
      </c>
      <c r="H653" t="str">
        <f>_xlfn.CONCAT("https://tablet.otzar.org/",CHAR(35),"/book/155554/p/-1/t/1/fs/0/start/0/end/0/c")</f>
        <v>https://tablet.otzar.org/#/book/155554/p/-1/t/1/fs/0/start/0/end/0/c</v>
      </c>
    </row>
    <row r="654" spans="1:8" x14ac:dyDescent="0.25">
      <c r="A654">
        <v>155309</v>
      </c>
      <c r="B654" t="s">
        <v>1298</v>
      </c>
      <c r="C654" t="s">
        <v>441</v>
      </c>
      <c r="D654" t="s">
        <v>10</v>
      </c>
      <c r="E654" t="s">
        <v>143</v>
      </c>
      <c r="F654" t="s">
        <v>55</v>
      </c>
      <c r="G654" t="str">
        <f>HYPERLINK(_xlfn.CONCAT("https://tablet.otzar.org/",CHAR(35),"/book/155309/p/-1/t/1/fs/0/start/0/end/0/c"),"שמונה פרקים לרמב""""ם")</f>
        <v>שמונה פרקים לרמב""ם</v>
      </c>
      <c r="H654" t="str">
        <f>_xlfn.CONCAT("https://tablet.otzar.org/",CHAR(35),"/book/155309/p/-1/t/1/fs/0/start/0/end/0/c")</f>
        <v>https://tablet.otzar.org/#/book/155309/p/-1/t/1/fs/0/start/0/end/0/c</v>
      </c>
    </row>
    <row r="655" spans="1:8" x14ac:dyDescent="0.25">
      <c r="A655">
        <v>647310</v>
      </c>
      <c r="B655" t="s">
        <v>1299</v>
      </c>
      <c r="C655" t="s">
        <v>21</v>
      </c>
      <c r="D655" t="s">
        <v>10</v>
      </c>
      <c r="E655" t="s">
        <v>49</v>
      </c>
      <c r="F655" t="s">
        <v>55</v>
      </c>
      <c r="G655" t="str">
        <f>HYPERLINK(_xlfn.CONCAT("https://tablet.otzar.org/",CHAR(35),"/book/647310/p/-1/t/1/fs/0/start/0/end/0/c"),"שמונה קבצים &lt;מהדורת מוה""""ק&gt; - ב")</f>
        <v>שמונה קבצים &lt;מהדורת מוה""ק&gt; - ב</v>
      </c>
      <c r="H655" t="str">
        <f>_xlfn.CONCAT("https://tablet.otzar.org/",CHAR(35),"/book/647310/p/-1/t/1/fs/0/start/0/end/0/c")</f>
        <v>https://tablet.otzar.org/#/book/647310/p/-1/t/1/fs/0/start/0/end/0/c</v>
      </c>
    </row>
    <row r="656" spans="1:8" x14ac:dyDescent="0.25">
      <c r="A656">
        <v>155096</v>
      </c>
      <c r="B656" t="s">
        <v>1300</v>
      </c>
      <c r="C656" t="s">
        <v>976</v>
      </c>
      <c r="D656" t="s">
        <v>10</v>
      </c>
      <c r="E656" t="s">
        <v>421</v>
      </c>
      <c r="F656" t="s">
        <v>85</v>
      </c>
      <c r="G656" t="str">
        <f>HYPERLINK(_xlfn.CONCAT("https://tablet.otzar.org/",CHAR(35),"/book/155096/p/-1/t/1/fs/0/start/0/end/0/c"),"שמיטת כספים")</f>
        <v>שמיטת כספים</v>
      </c>
      <c r="H656" t="str">
        <f>_xlfn.CONCAT("https://tablet.otzar.org/",CHAR(35),"/book/155096/p/-1/t/1/fs/0/start/0/end/0/c")</f>
        <v>https://tablet.otzar.org/#/book/155096/p/-1/t/1/fs/0/start/0/end/0/c</v>
      </c>
    </row>
    <row r="657" spans="1:8" x14ac:dyDescent="0.25">
      <c r="A657">
        <v>155150</v>
      </c>
      <c r="B657" t="s">
        <v>1301</v>
      </c>
      <c r="C657" t="s">
        <v>1302</v>
      </c>
      <c r="D657" t="s">
        <v>10</v>
      </c>
      <c r="E657" t="s">
        <v>132</v>
      </c>
      <c r="F657" t="s">
        <v>19</v>
      </c>
      <c r="G657" t="str">
        <f>HYPERLINK(_xlfn.CONCAT("https://tablet.otzar.org/",CHAR(35),"/exKotar/155150"),"שמעתי מרבי - 2 כרכים")</f>
        <v>שמעתי מרבי - 2 כרכים</v>
      </c>
      <c r="H657" t="str">
        <f>_xlfn.CONCAT("https://tablet.otzar.org/",CHAR(35),"/exKotar/155150")</f>
        <v>https://tablet.otzar.org/#/exKotar/155150</v>
      </c>
    </row>
    <row r="658" spans="1:8" x14ac:dyDescent="0.25">
      <c r="A658">
        <v>158978</v>
      </c>
      <c r="B658" t="s">
        <v>1303</v>
      </c>
      <c r="C658" t="s">
        <v>1304</v>
      </c>
      <c r="D658" t="s">
        <v>10</v>
      </c>
      <c r="E658" t="s">
        <v>204</v>
      </c>
      <c r="F658" t="s">
        <v>23</v>
      </c>
      <c r="G658" t="str">
        <f>HYPERLINK(_xlfn.CONCAT("https://tablet.otzar.org/",CHAR(35),"/book/158978/p/-1/t/1/fs/0/start/0/end/0/c"),"שמש בענן")</f>
        <v>שמש בענן</v>
      </c>
      <c r="H658" t="str">
        <f>_xlfn.CONCAT("https://tablet.otzar.org/",CHAR(35),"/book/158978/p/-1/t/1/fs/0/start/0/end/0/c")</f>
        <v>https://tablet.otzar.org/#/book/158978/p/-1/t/1/fs/0/start/0/end/0/c</v>
      </c>
    </row>
    <row r="659" spans="1:8" x14ac:dyDescent="0.25">
      <c r="A659">
        <v>155162</v>
      </c>
      <c r="B659" t="s">
        <v>1305</v>
      </c>
      <c r="C659" t="s">
        <v>108</v>
      </c>
      <c r="D659" t="s">
        <v>10</v>
      </c>
      <c r="E659" t="s">
        <v>84</v>
      </c>
      <c r="F659" t="s">
        <v>218</v>
      </c>
      <c r="G659" t="str">
        <f>HYPERLINK(_xlfn.CONCAT("https://tablet.otzar.org/",CHAR(35),"/exKotar/155162"),"שעורים לזכר אבא מרי ז""""ל - 2 כרכים")</f>
        <v>שעורים לזכר אבא מרי ז""ל - 2 כרכים</v>
      </c>
      <c r="H659" t="str">
        <f>_xlfn.CONCAT("https://tablet.otzar.org/",CHAR(35),"/exKotar/155162")</f>
        <v>https://tablet.otzar.org/#/exKotar/155162</v>
      </c>
    </row>
    <row r="660" spans="1:8" x14ac:dyDescent="0.25">
      <c r="A660">
        <v>182065</v>
      </c>
      <c r="B660" t="s">
        <v>1306</v>
      </c>
      <c r="C660" t="s">
        <v>481</v>
      </c>
      <c r="D660" t="s">
        <v>10</v>
      </c>
      <c r="E660" t="s">
        <v>22</v>
      </c>
      <c r="G660" t="str">
        <f>HYPERLINK(_xlfn.CONCAT("https://tablet.otzar.org/",CHAR(35),"/book/182065/p/-1/t/1/fs/0/start/0/end/0/c"),"שערי בריאות הגוף והנפש לפי הרמב""""ם")</f>
        <v>שערי בריאות הגוף והנפש לפי הרמב""ם</v>
      </c>
      <c r="H660" t="str">
        <f>_xlfn.CONCAT("https://tablet.otzar.org/",CHAR(35),"/book/182065/p/-1/t/1/fs/0/start/0/end/0/c")</f>
        <v>https://tablet.otzar.org/#/book/182065/p/-1/t/1/fs/0/start/0/end/0/c</v>
      </c>
    </row>
    <row r="661" spans="1:8" x14ac:dyDescent="0.25">
      <c r="A661">
        <v>170010</v>
      </c>
      <c r="B661" t="s">
        <v>1307</v>
      </c>
      <c r="C661" t="s">
        <v>1308</v>
      </c>
      <c r="D661" t="s">
        <v>10</v>
      </c>
      <c r="E661" t="s">
        <v>325</v>
      </c>
      <c r="F661" t="s">
        <v>85</v>
      </c>
      <c r="G661" t="str">
        <f>HYPERLINK(_xlfn.CONCAT("https://tablet.otzar.org/",CHAR(35),"/exKotar/170010"),"שערי הלכה - 2 כרכים")</f>
        <v>שערי הלכה - 2 כרכים</v>
      </c>
      <c r="H661" t="str">
        <f>_xlfn.CONCAT("https://tablet.otzar.org/",CHAR(35),"/exKotar/170010")</f>
        <v>https://tablet.otzar.org/#/exKotar/170010</v>
      </c>
    </row>
    <row r="662" spans="1:8" x14ac:dyDescent="0.25">
      <c r="A662">
        <v>155087</v>
      </c>
      <c r="B662" t="s">
        <v>1309</v>
      </c>
      <c r="C662" t="s">
        <v>462</v>
      </c>
      <c r="D662" t="s">
        <v>10</v>
      </c>
      <c r="E662" t="s">
        <v>408</v>
      </c>
      <c r="F662" t="s">
        <v>507</v>
      </c>
      <c r="G662" t="str">
        <f>HYPERLINK(_xlfn.CONCAT("https://tablet.otzar.org/",CHAR(35),"/book/155087/p/-1/t/1/fs/0/start/0/end/0/c"),"שערי זהר")</f>
        <v>שערי זהר</v>
      </c>
      <c r="H662" t="str">
        <f>_xlfn.CONCAT("https://tablet.otzar.org/",CHAR(35),"/book/155087/p/-1/t/1/fs/0/start/0/end/0/c")</f>
        <v>https://tablet.otzar.org/#/book/155087/p/-1/t/1/fs/0/start/0/end/0/c</v>
      </c>
    </row>
    <row r="663" spans="1:8" x14ac:dyDescent="0.25">
      <c r="A663">
        <v>155216</v>
      </c>
      <c r="B663" t="s">
        <v>1310</v>
      </c>
      <c r="C663" t="s">
        <v>171</v>
      </c>
      <c r="D663" t="s">
        <v>10</v>
      </c>
      <c r="E663" t="s">
        <v>132</v>
      </c>
      <c r="F663" t="s">
        <v>218</v>
      </c>
      <c r="G663" t="str">
        <f>HYPERLINK(_xlfn.CONCAT("https://tablet.otzar.org/",CHAR(35),"/exKotar/155216"),"שערי שאול - 3 כרכים")</f>
        <v>שערי שאול - 3 כרכים</v>
      </c>
      <c r="H663" t="str">
        <f>_xlfn.CONCAT("https://tablet.otzar.org/",CHAR(35),"/exKotar/155216")</f>
        <v>https://tablet.otzar.org/#/exKotar/155216</v>
      </c>
    </row>
    <row r="664" spans="1:8" x14ac:dyDescent="0.25">
      <c r="A664">
        <v>638050</v>
      </c>
      <c r="B664" t="s">
        <v>1311</v>
      </c>
      <c r="C664" t="s">
        <v>1312</v>
      </c>
      <c r="D664" t="s">
        <v>10</v>
      </c>
      <c r="E664" t="s">
        <v>116</v>
      </c>
      <c r="F664" t="s">
        <v>23</v>
      </c>
      <c r="G664" t="str">
        <f>HYPERLINK(_xlfn.CONCAT("https://tablet.otzar.org/",CHAR(35),"/book/638050/p/-1/t/1/fs/0/start/0/end/0/c"),"שערים בהלכה")</f>
        <v>שערים בהלכה</v>
      </c>
      <c r="H664" t="str">
        <f>_xlfn.CONCAT("https://tablet.otzar.org/",CHAR(35),"/book/638050/p/-1/t/1/fs/0/start/0/end/0/c")</f>
        <v>https://tablet.otzar.org/#/book/638050/p/-1/t/1/fs/0/start/0/end/0/c</v>
      </c>
    </row>
    <row r="665" spans="1:8" x14ac:dyDescent="0.25">
      <c r="A665">
        <v>647312</v>
      </c>
      <c r="B665" t="s">
        <v>1313</v>
      </c>
      <c r="C665" t="s">
        <v>350</v>
      </c>
      <c r="D665" t="s">
        <v>10</v>
      </c>
      <c r="E665" t="s">
        <v>49</v>
      </c>
      <c r="G665" t="str">
        <f>HYPERLINK(_xlfn.CONCAT("https://tablet.otzar.org/",CHAR(35),"/book/647312/p/-1/t/1/fs/0/start/0/end/0/c"),"שערים למערכת הקניינים")</f>
        <v>שערים למערכת הקניינים</v>
      </c>
      <c r="H665" t="str">
        <f>_xlfn.CONCAT("https://tablet.otzar.org/",CHAR(35),"/book/647312/p/-1/t/1/fs/0/start/0/end/0/c")</f>
        <v>https://tablet.otzar.org/#/book/647312/p/-1/t/1/fs/0/start/0/end/0/c</v>
      </c>
    </row>
    <row r="666" spans="1:8" x14ac:dyDescent="0.25">
      <c r="A666">
        <v>194445</v>
      </c>
      <c r="B666" t="s">
        <v>1314</v>
      </c>
      <c r="C666" t="s">
        <v>350</v>
      </c>
      <c r="D666" t="s">
        <v>10</v>
      </c>
      <c r="E666" t="s">
        <v>65</v>
      </c>
      <c r="F666" t="s">
        <v>218</v>
      </c>
      <c r="G666" t="str">
        <f>HYPERLINK(_xlfn.CONCAT("https://tablet.otzar.org/",CHAR(35),"/book/194445/p/-1/t/1/fs/0/start/0/end/0/c"),"שערים לשערי יושר")</f>
        <v>שערים לשערי יושר</v>
      </c>
      <c r="H666" t="str">
        <f>_xlfn.CONCAT("https://tablet.otzar.org/",CHAR(35),"/book/194445/p/-1/t/1/fs/0/start/0/end/0/c")</f>
        <v>https://tablet.otzar.org/#/book/194445/p/-1/t/1/fs/0/start/0/end/0/c</v>
      </c>
    </row>
    <row r="667" spans="1:8" x14ac:dyDescent="0.25">
      <c r="A667">
        <v>647313</v>
      </c>
      <c r="B667" t="s">
        <v>1315</v>
      </c>
      <c r="C667" t="s">
        <v>17</v>
      </c>
      <c r="D667" t="s">
        <v>10</v>
      </c>
      <c r="E667" t="s">
        <v>49</v>
      </c>
      <c r="G667" t="str">
        <f>HYPERLINK(_xlfn.CONCAT("https://tablet.otzar.org/",CHAR(35),"/book/647313/p/-1/t/1/fs/0/start/0/end/0/c"),"שפה ברורה &lt;מהדורת מוה""""ק&gt;")</f>
        <v>שפה ברורה &lt;מהדורת מוה""ק&gt;</v>
      </c>
      <c r="H667" t="str">
        <f>_xlfn.CONCAT("https://tablet.otzar.org/",CHAR(35),"/book/647313/p/-1/t/1/fs/0/start/0/end/0/c")</f>
        <v>https://tablet.otzar.org/#/book/647313/p/-1/t/1/fs/0/start/0/end/0/c</v>
      </c>
    </row>
    <row r="668" spans="1:8" x14ac:dyDescent="0.25">
      <c r="A668">
        <v>155355</v>
      </c>
      <c r="B668" t="s">
        <v>1316</v>
      </c>
      <c r="C668" t="s">
        <v>332</v>
      </c>
      <c r="D668" t="s">
        <v>10</v>
      </c>
      <c r="E668" t="s">
        <v>622</v>
      </c>
      <c r="F668" t="s">
        <v>1317</v>
      </c>
      <c r="G668" t="str">
        <f>HYPERLINK(_xlfn.CONCAT("https://tablet.otzar.org/",CHAR(35),"/exKotar/155355"),"שפתי דעת - 3 כרכים")</f>
        <v>שפתי דעת - 3 כרכים</v>
      </c>
      <c r="H668" t="str">
        <f>_xlfn.CONCAT("https://tablet.otzar.org/",CHAR(35),"/exKotar/155355")</f>
        <v>https://tablet.otzar.org/#/exKotar/155355</v>
      </c>
    </row>
    <row r="669" spans="1:8" x14ac:dyDescent="0.25">
      <c r="A669">
        <v>157337</v>
      </c>
      <c r="B669" t="s">
        <v>1318</v>
      </c>
      <c r="C669" t="s">
        <v>1319</v>
      </c>
      <c r="D669" t="s">
        <v>10</v>
      </c>
      <c r="E669" t="s">
        <v>15</v>
      </c>
      <c r="F669" t="s">
        <v>181</v>
      </c>
      <c r="G669" t="str">
        <f>HYPERLINK(_xlfn.CONCAT("https://tablet.otzar.org/",CHAR(35),"/book/157337/p/-1/t/1/fs/0/start/0/end/0/c"),"שקל הקודש")</f>
        <v>שקל הקודש</v>
      </c>
      <c r="H669" t="str">
        <f>_xlfn.CONCAT("https://tablet.otzar.org/",CHAR(35),"/book/157337/p/-1/t/1/fs/0/start/0/end/0/c")</f>
        <v>https://tablet.otzar.org/#/book/157337/p/-1/t/1/fs/0/start/0/end/0/c</v>
      </c>
    </row>
    <row r="670" spans="1:8" x14ac:dyDescent="0.25">
      <c r="A670">
        <v>158427</v>
      </c>
      <c r="B670" t="s">
        <v>1320</v>
      </c>
      <c r="C670" t="s">
        <v>1321</v>
      </c>
      <c r="D670" t="s">
        <v>10</v>
      </c>
      <c r="E670" t="s">
        <v>80</v>
      </c>
      <c r="F670" t="s">
        <v>666</v>
      </c>
      <c r="G670" t="str">
        <f>HYPERLINK(_xlfn.CONCAT("https://tablet.otzar.org/",CHAR(35),"/exKotar/158427"),"שרגאי - 3 כרכים")</f>
        <v>שרגאי - 3 כרכים</v>
      </c>
      <c r="H670" t="str">
        <f>_xlfn.CONCAT("https://tablet.otzar.org/",CHAR(35),"/exKotar/158427")</f>
        <v>https://tablet.otzar.org/#/exKotar/158427</v>
      </c>
    </row>
    <row r="671" spans="1:8" x14ac:dyDescent="0.25">
      <c r="A671">
        <v>155152</v>
      </c>
      <c r="B671" t="s">
        <v>1322</v>
      </c>
      <c r="C671" t="s">
        <v>14</v>
      </c>
      <c r="D671" t="s">
        <v>10</v>
      </c>
      <c r="E671" t="s">
        <v>1323</v>
      </c>
      <c r="F671" t="s">
        <v>12</v>
      </c>
      <c r="G671" t="str">
        <f>HYPERLINK(_xlfn.CONCAT("https://tablet.otzar.org/",CHAR(35),"/exKotar/155152"),"שרי המאה - 6 כרכים")</f>
        <v>שרי המאה - 6 כרכים</v>
      </c>
      <c r="H671" t="str">
        <f>_xlfn.CONCAT("https://tablet.otzar.org/",CHAR(35),"/exKotar/155152")</f>
        <v>https://tablet.otzar.org/#/exKotar/155152</v>
      </c>
    </row>
    <row r="672" spans="1:8" x14ac:dyDescent="0.25">
      <c r="A672">
        <v>155263</v>
      </c>
      <c r="B672" t="s">
        <v>1324</v>
      </c>
      <c r="C672" t="s">
        <v>1325</v>
      </c>
      <c r="D672" t="s">
        <v>10</v>
      </c>
      <c r="E672" t="s">
        <v>22</v>
      </c>
      <c r="F672" t="s">
        <v>218</v>
      </c>
      <c r="G672" t="str">
        <f>HYPERLINK(_xlfn.CONCAT("https://tablet.otzar.org/",CHAR(35),"/book/155263/p/-1/t/1/fs/0/start/0/end/0/c"),"שרידים מפירוש הר""""א על תענית")</f>
        <v>שרידים מפירוש הר""א על תענית</v>
      </c>
      <c r="H672" t="str">
        <f>_xlfn.CONCAT("https://tablet.otzar.org/",CHAR(35),"/book/155263/p/-1/t/1/fs/0/start/0/end/0/c")</f>
        <v>https://tablet.otzar.org/#/book/155263/p/-1/t/1/fs/0/start/0/end/0/c</v>
      </c>
    </row>
    <row r="673" spans="1:8" x14ac:dyDescent="0.25">
      <c r="A673">
        <v>157045</v>
      </c>
      <c r="B673" t="s">
        <v>1326</v>
      </c>
      <c r="C673" t="s">
        <v>1327</v>
      </c>
      <c r="D673" t="s">
        <v>10</v>
      </c>
      <c r="E673" t="s">
        <v>421</v>
      </c>
      <c r="G673" t="str">
        <f>HYPERLINK(_xlfn.CONCAT("https://tablet.otzar.org/",CHAR(35),"/book/157045/p/-1/t/1/fs/0/start/0/end/0/c"),"ששה חדשים באיטליה")</f>
        <v>ששה חדשים באיטליה</v>
      </c>
      <c r="H673" t="str">
        <f>_xlfn.CONCAT("https://tablet.otzar.org/",CHAR(35),"/book/157045/p/-1/t/1/fs/0/start/0/end/0/c")</f>
        <v>https://tablet.otzar.org/#/book/157045/p/-1/t/1/fs/0/start/0/end/0/c</v>
      </c>
    </row>
    <row r="674" spans="1:8" x14ac:dyDescent="0.25">
      <c r="A674">
        <v>158977</v>
      </c>
      <c r="B674" t="s">
        <v>1328</v>
      </c>
      <c r="C674" t="s">
        <v>1329</v>
      </c>
      <c r="D674" t="s">
        <v>10</v>
      </c>
      <c r="E674" t="s">
        <v>227</v>
      </c>
      <c r="F674" t="s">
        <v>1330</v>
      </c>
      <c r="G674" t="str">
        <f>HYPERLINK(_xlfn.CONCAT("https://tablet.otzar.org/",CHAR(35),"/book/158977/p/-1/t/1/fs/0/start/0/end/0/c"),"תבונה - א-ב")</f>
        <v>תבונה - א-ב</v>
      </c>
      <c r="H674" t="str">
        <f>_xlfn.CONCAT("https://tablet.otzar.org/",CHAR(35),"/book/158977/p/-1/t/1/fs/0/start/0/end/0/c")</f>
        <v>https://tablet.otzar.org/#/book/158977/p/-1/t/1/fs/0/start/0/end/0/c</v>
      </c>
    </row>
    <row r="675" spans="1:8" x14ac:dyDescent="0.25">
      <c r="A675">
        <v>622950</v>
      </c>
      <c r="B675" t="s">
        <v>1331</v>
      </c>
      <c r="C675" t="s">
        <v>283</v>
      </c>
      <c r="D675" t="s">
        <v>10</v>
      </c>
      <c r="E675" t="s">
        <v>43</v>
      </c>
      <c r="F675" t="s">
        <v>19</v>
      </c>
      <c r="G675" t="str">
        <f>HYPERLINK(_xlfn.CONCAT("https://tablet.otzar.org/",CHAR(35),"/book/622950/p/-1/t/1/fs/0/start/0/end/0/c"),"תהלים &lt;באר אברהם&gt;")</f>
        <v>תהלים &lt;באר אברהם&gt;</v>
      </c>
      <c r="H675" t="str">
        <f>_xlfn.CONCAT("https://tablet.otzar.org/",CHAR(35),"/book/622950/p/-1/t/1/fs/0/start/0/end/0/c")</f>
        <v>https://tablet.otzar.org/#/book/622950/p/-1/t/1/fs/0/start/0/end/0/c</v>
      </c>
    </row>
    <row r="676" spans="1:8" x14ac:dyDescent="0.25">
      <c r="A676">
        <v>14709</v>
      </c>
      <c r="B676" t="s">
        <v>1332</v>
      </c>
      <c r="C676" t="s">
        <v>31</v>
      </c>
      <c r="D676" t="s">
        <v>10</v>
      </c>
      <c r="E676" t="s">
        <v>636</v>
      </c>
      <c r="F676" t="s">
        <v>19</v>
      </c>
      <c r="G676" t="str">
        <f>HYPERLINK(_xlfn.CONCAT("https://tablet.otzar.org/",CHAR(35),"/book/14709/p/-1/t/1/fs/0/start/0/end/0/c"),"תהלים &lt;רש""""ר הירש&gt;")</f>
        <v>תהלים &lt;רש""ר הירש&gt;</v>
      </c>
      <c r="H676" t="str">
        <f>_xlfn.CONCAT("https://tablet.otzar.org/",CHAR(35),"/book/14709/p/-1/t/1/fs/0/start/0/end/0/c")</f>
        <v>https://tablet.otzar.org/#/book/14709/p/-1/t/1/fs/0/start/0/end/0/c</v>
      </c>
    </row>
    <row r="677" spans="1:8" x14ac:dyDescent="0.25">
      <c r="A677">
        <v>155516</v>
      </c>
      <c r="B677" t="s">
        <v>1333</v>
      </c>
      <c r="C677" t="s">
        <v>1107</v>
      </c>
      <c r="D677" t="s">
        <v>10</v>
      </c>
      <c r="E677" t="s">
        <v>622</v>
      </c>
      <c r="F677" t="s">
        <v>19</v>
      </c>
      <c r="G677" t="str">
        <f>HYPERLINK(_xlfn.CONCAT("https://tablet.otzar.org/",CHAR(35),"/book/155516/p/-1/t/1/fs/0/start/0/end/0/c"),"תהלים עם הפירוש השלם לרד""""ק")</f>
        <v>תהלים עם הפירוש השלם לרד""ק</v>
      </c>
      <c r="H677" t="str">
        <f>_xlfn.CONCAT("https://tablet.otzar.org/",CHAR(35),"/book/155516/p/-1/t/1/fs/0/start/0/end/0/c")</f>
        <v>https://tablet.otzar.org/#/book/155516/p/-1/t/1/fs/0/start/0/end/0/c</v>
      </c>
    </row>
    <row r="678" spans="1:8" x14ac:dyDescent="0.25">
      <c r="A678">
        <v>155281</v>
      </c>
      <c r="B678" t="s">
        <v>1334</v>
      </c>
      <c r="C678" t="s">
        <v>14</v>
      </c>
      <c r="D678" t="s">
        <v>10</v>
      </c>
      <c r="E678" t="s">
        <v>202</v>
      </c>
      <c r="F678" t="s">
        <v>12</v>
      </c>
      <c r="G678" t="str">
        <f>HYPERLINK(_xlfn.CONCAT("https://tablet.otzar.org/",CHAR(35),"/book/155281/p/-1/t/1/fs/0/start/0/end/0/c"),"תולדות הגר""""א")</f>
        <v>תולדות הגר""א</v>
      </c>
      <c r="H678" t="str">
        <f>_xlfn.CONCAT("https://tablet.otzar.org/",CHAR(35),"/book/155281/p/-1/t/1/fs/0/start/0/end/0/c")</f>
        <v>https://tablet.otzar.org/#/book/155281/p/-1/t/1/fs/0/start/0/end/0/c</v>
      </c>
    </row>
    <row r="679" spans="1:8" x14ac:dyDescent="0.25">
      <c r="A679">
        <v>158439</v>
      </c>
      <c r="B679" t="s">
        <v>1335</v>
      </c>
      <c r="C679" t="s">
        <v>1336</v>
      </c>
      <c r="D679" t="s">
        <v>10</v>
      </c>
      <c r="F679" t="s">
        <v>12</v>
      </c>
      <c r="G679" t="str">
        <f>HYPERLINK(_xlfn.CONCAT("https://tablet.otzar.org/",CHAR(35),"/exKotar/158439"),"תולדות היהודים במצרים וסוריה - 2 כרכים")</f>
        <v>תולדות היהודים במצרים וסוריה - 2 כרכים</v>
      </c>
      <c r="H679" t="str">
        <f>_xlfn.CONCAT("https://tablet.otzar.org/",CHAR(35),"/exKotar/158439")</f>
        <v>https://tablet.otzar.org/#/exKotar/158439</v>
      </c>
    </row>
    <row r="680" spans="1:8" x14ac:dyDescent="0.25">
      <c r="A680">
        <v>155134</v>
      </c>
      <c r="B680" t="s">
        <v>1337</v>
      </c>
      <c r="C680" t="s">
        <v>1338</v>
      </c>
      <c r="D680" t="s">
        <v>10</v>
      </c>
      <c r="E680" t="s">
        <v>308</v>
      </c>
      <c r="F680" t="s">
        <v>262</v>
      </c>
      <c r="G680" t="str">
        <f>HYPERLINK(_xlfn.CONCAT("https://tablet.otzar.org/",CHAR(35),"/book/155134/p/-1/t/1/fs/0/start/0/end/0/c"),"תולדות חג שמחת תורה")</f>
        <v>תולדות חג שמחת תורה</v>
      </c>
      <c r="H680" t="str">
        <f>_xlfn.CONCAT("https://tablet.otzar.org/",CHAR(35),"/book/155134/p/-1/t/1/fs/0/start/0/end/0/c")</f>
        <v>https://tablet.otzar.org/#/book/155134/p/-1/t/1/fs/0/start/0/end/0/c</v>
      </c>
    </row>
    <row r="681" spans="1:8" x14ac:dyDescent="0.25">
      <c r="A681">
        <v>157065</v>
      </c>
      <c r="B681" t="s">
        <v>1339</v>
      </c>
      <c r="C681" t="s">
        <v>1340</v>
      </c>
      <c r="D681" t="s">
        <v>10</v>
      </c>
      <c r="E681" t="s">
        <v>533</v>
      </c>
      <c r="G681" t="str">
        <f>HYPERLINK(_xlfn.CONCAT("https://tablet.otzar.org/",CHAR(35),"/book/157065/p/-1/t/1/fs/0/start/0/end/0/c"),"תולדות נס ציונה בוולוז'ין")</f>
        <v>תולדות נס ציונה בוולוז'ין</v>
      </c>
      <c r="H681" t="str">
        <f>_xlfn.CONCAT("https://tablet.otzar.org/",CHAR(35),"/book/157065/p/-1/t/1/fs/0/start/0/end/0/c")</f>
        <v>https://tablet.otzar.org/#/book/157065/p/-1/t/1/fs/0/start/0/end/0/c</v>
      </c>
    </row>
    <row r="682" spans="1:8" x14ac:dyDescent="0.25">
      <c r="A682">
        <v>155360</v>
      </c>
      <c r="B682" t="s">
        <v>1341</v>
      </c>
      <c r="C682" t="s">
        <v>1342</v>
      </c>
      <c r="D682" t="s">
        <v>10</v>
      </c>
      <c r="E682" t="s">
        <v>46</v>
      </c>
      <c r="F682" t="s">
        <v>218</v>
      </c>
      <c r="G682" t="str">
        <f>HYPERLINK(_xlfn.CONCAT("https://tablet.otzar.org/",CHAR(35),"/book/155360/p/-1/t/1/fs/0/start/0/end/0/c"),"תוספות איוורא - סוטה")</f>
        <v>תוספות איוורא - סוטה</v>
      </c>
      <c r="H682" t="str">
        <f>_xlfn.CONCAT("https://tablet.otzar.org/",CHAR(35),"/book/155360/p/-1/t/1/fs/0/start/0/end/0/c")</f>
        <v>https://tablet.otzar.org/#/book/155360/p/-1/t/1/fs/0/start/0/end/0/c</v>
      </c>
    </row>
    <row r="683" spans="1:8" x14ac:dyDescent="0.25">
      <c r="A683">
        <v>169998</v>
      </c>
      <c r="B683" t="s">
        <v>1343</v>
      </c>
      <c r="C683" t="s">
        <v>1344</v>
      </c>
      <c r="D683" t="s">
        <v>10</v>
      </c>
      <c r="E683" t="s">
        <v>325</v>
      </c>
      <c r="F683" t="s">
        <v>218</v>
      </c>
      <c r="G683" t="str">
        <f>HYPERLINK(_xlfn.CONCAT("https://tablet.otzar.org/",CHAR(35),"/exKotar/169998"),"תוספות הרא""""ש &lt;מוה""""ק&gt;  - 20 כרכים")</f>
        <v>תוספות הרא""ש &lt;מוה""ק&gt;  - 20 כרכים</v>
      </c>
      <c r="H683" t="str">
        <f>_xlfn.CONCAT("https://tablet.otzar.org/",CHAR(35),"/exKotar/169998")</f>
        <v>https://tablet.otzar.org/#/exKotar/169998</v>
      </c>
    </row>
    <row r="684" spans="1:8" x14ac:dyDescent="0.25">
      <c r="A684">
        <v>609667</v>
      </c>
      <c r="B684" t="s">
        <v>1345</v>
      </c>
      <c r="C684" t="s">
        <v>897</v>
      </c>
      <c r="D684" t="s">
        <v>10</v>
      </c>
      <c r="E684" t="s">
        <v>187</v>
      </c>
      <c r="F684" t="s">
        <v>218</v>
      </c>
      <c r="G684" t="str">
        <f>HYPERLINK(_xlfn.CONCAT("https://tablet.otzar.org/",CHAR(35),"/exKotar/609667"),"תוספות רי""""ד &lt;מוה""""ק&gt;  - 12 כרכים")</f>
        <v>תוספות רי""ד &lt;מוה""ק&gt;  - 12 כרכים</v>
      </c>
      <c r="H684" t="str">
        <f>_xlfn.CONCAT("https://tablet.otzar.org/",CHAR(35),"/exKotar/609667")</f>
        <v>https://tablet.otzar.org/#/exKotar/609667</v>
      </c>
    </row>
    <row r="685" spans="1:8" x14ac:dyDescent="0.25">
      <c r="A685">
        <v>158433</v>
      </c>
      <c r="B685" t="s">
        <v>1346</v>
      </c>
      <c r="C685" t="s">
        <v>1347</v>
      </c>
      <c r="D685" t="s">
        <v>10</v>
      </c>
      <c r="E685" t="s">
        <v>1348</v>
      </c>
      <c r="F685" t="s">
        <v>809</v>
      </c>
      <c r="G685" t="str">
        <f>HYPERLINK(_xlfn.CONCAT("https://tablet.otzar.org/",CHAR(35),"/exKotar/158433"),"תוספת ראשונים - 4 כרכים")</f>
        <v>תוספת ראשונים - 4 כרכים</v>
      </c>
      <c r="H685" t="str">
        <f>_xlfn.CONCAT("https://tablet.otzar.org/",CHAR(35),"/exKotar/158433")</f>
        <v>https://tablet.otzar.org/#/exKotar/158433</v>
      </c>
    </row>
    <row r="686" spans="1:8" x14ac:dyDescent="0.25">
      <c r="A686">
        <v>158419</v>
      </c>
      <c r="B686" t="s">
        <v>1349</v>
      </c>
      <c r="C686" t="s">
        <v>1350</v>
      </c>
      <c r="D686" t="s">
        <v>10</v>
      </c>
      <c r="E686" t="s">
        <v>533</v>
      </c>
      <c r="F686" t="s">
        <v>55</v>
      </c>
      <c r="G686" t="str">
        <f>HYPERLINK(_xlfn.CONCAT("https://tablet.otzar.org/",CHAR(35),"/book/158419/p/-1/t/1/fs/0/start/0/end/0/c"),"תורה ומוסר")</f>
        <v>תורה ומוסר</v>
      </c>
      <c r="H686" t="str">
        <f>_xlfn.CONCAT("https://tablet.otzar.org/",CHAR(35),"/book/158419/p/-1/t/1/fs/0/start/0/end/0/c")</f>
        <v>https://tablet.otzar.org/#/book/158419/p/-1/t/1/fs/0/start/0/end/0/c</v>
      </c>
    </row>
    <row r="687" spans="1:8" x14ac:dyDescent="0.25">
      <c r="A687">
        <v>158407</v>
      </c>
      <c r="B687" t="s">
        <v>1351</v>
      </c>
      <c r="C687" t="s">
        <v>426</v>
      </c>
      <c r="D687" t="s">
        <v>10</v>
      </c>
      <c r="E687" t="s">
        <v>36</v>
      </c>
      <c r="F687" t="s">
        <v>55</v>
      </c>
      <c r="G687" t="str">
        <f>HYPERLINK(_xlfn.CONCAT("https://tablet.otzar.org/",CHAR(35),"/book/158407/p/-1/t/1/fs/0/start/0/end/0/c"),"תורה לשמה - במשנת ר""""ח מוולוז'ין")</f>
        <v>תורה לשמה - במשנת ר""ח מוולוז'ין</v>
      </c>
      <c r="H687" t="str">
        <f>_xlfn.CONCAT("https://tablet.otzar.org/",CHAR(35),"/book/158407/p/-1/t/1/fs/0/start/0/end/0/c")</f>
        <v>https://tablet.otzar.org/#/book/158407/p/-1/t/1/fs/0/start/0/end/0/c</v>
      </c>
    </row>
    <row r="688" spans="1:8" x14ac:dyDescent="0.25">
      <c r="A688">
        <v>194415</v>
      </c>
      <c r="B688" t="s">
        <v>1352</v>
      </c>
      <c r="C688" t="s">
        <v>1353</v>
      </c>
      <c r="D688" t="s">
        <v>10</v>
      </c>
      <c r="E688" t="s">
        <v>65</v>
      </c>
      <c r="F688" t="s">
        <v>23</v>
      </c>
      <c r="G688" t="str">
        <f>HYPERLINK(_xlfn.CONCAT("https://tablet.otzar.org/",CHAR(35),"/book/194415/p/-1/t/1/fs/0/start/0/end/0/c"),"תורה שבעל פה")</f>
        <v>תורה שבעל פה</v>
      </c>
      <c r="H688" t="str">
        <f>_xlfn.CONCAT("https://tablet.otzar.org/",CHAR(35),"/book/194415/p/-1/t/1/fs/0/start/0/end/0/c")</f>
        <v>https://tablet.otzar.org/#/book/194415/p/-1/t/1/fs/0/start/0/end/0/c</v>
      </c>
    </row>
    <row r="689" spans="1:8" x14ac:dyDescent="0.25">
      <c r="A689">
        <v>156328</v>
      </c>
      <c r="B689" t="s">
        <v>1354</v>
      </c>
      <c r="C689" t="s">
        <v>1355</v>
      </c>
      <c r="D689" t="s">
        <v>10</v>
      </c>
      <c r="E689" t="s">
        <v>58</v>
      </c>
      <c r="F689" t="s">
        <v>931</v>
      </c>
      <c r="G689" t="str">
        <f>HYPERLINK(_xlfn.CONCAT("https://tablet.otzar.org/",CHAR(35),"/exKotar/156328"),"תורות בית דינוב - 3 כרכים")</f>
        <v>תורות בית דינוב - 3 כרכים</v>
      </c>
      <c r="H689" t="str">
        <f>_xlfn.CONCAT("https://tablet.otzar.org/",CHAR(35),"/exKotar/156328")</f>
        <v>https://tablet.otzar.org/#/exKotar/156328</v>
      </c>
    </row>
    <row r="690" spans="1:8" x14ac:dyDescent="0.25">
      <c r="A690">
        <v>156305</v>
      </c>
      <c r="B690" t="s">
        <v>1356</v>
      </c>
      <c r="C690" t="s">
        <v>1357</v>
      </c>
      <c r="D690" t="s">
        <v>10</v>
      </c>
      <c r="E690" t="s">
        <v>1055</v>
      </c>
      <c r="F690" t="s">
        <v>241</v>
      </c>
      <c r="G690" t="str">
        <f>HYPERLINK(_xlfn.CONCAT("https://tablet.otzar.org/",CHAR(35),"/book/156305/p/-1/t/1/fs/0/start/0/end/0/c"),"תורות בעל התולדות")</f>
        <v>תורות בעל התולדות</v>
      </c>
      <c r="H690" t="str">
        <f>_xlfn.CONCAT("https://tablet.otzar.org/",CHAR(35),"/book/156305/p/-1/t/1/fs/0/start/0/end/0/c")</f>
        <v>https://tablet.otzar.org/#/book/156305/p/-1/t/1/fs/0/start/0/end/0/c</v>
      </c>
    </row>
    <row r="691" spans="1:8" x14ac:dyDescent="0.25">
      <c r="A691">
        <v>157329</v>
      </c>
      <c r="B691" t="s">
        <v>1358</v>
      </c>
      <c r="C691" t="s">
        <v>1359</v>
      </c>
      <c r="D691" t="s">
        <v>10</v>
      </c>
      <c r="E691" t="s">
        <v>78</v>
      </c>
      <c r="F691" t="s">
        <v>831</v>
      </c>
      <c r="G691" t="str">
        <f>HYPERLINK(_xlfn.CONCAT("https://tablet.otzar.org/",CHAR(35),"/book/157329/p/-1/t/1/fs/0/start/0/end/0/c"),"תורת אבן העזר")</f>
        <v>תורת אבן העזר</v>
      </c>
      <c r="H691" t="str">
        <f>_xlfn.CONCAT("https://tablet.otzar.org/",CHAR(35),"/book/157329/p/-1/t/1/fs/0/start/0/end/0/c")</f>
        <v>https://tablet.otzar.org/#/book/157329/p/-1/t/1/fs/0/start/0/end/0/c</v>
      </c>
    </row>
    <row r="692" spans="1:8" x14ac:dyDescent="0.25">
      <c r="A692">
        <v>606729</v>
      </c>
      <c r="B692" t="s">
        <v>1360</v>
      </c>
      <c r="C692" t="s">
        <v>61</v>
      </c>
      <c r="D692" t="s">
        <v>10</v>
      </c>
      <c r="E692" t="s">
        <v>100</v>
      </c>
      <c r="F692" t="s">
        <v>19</v>
      </c>
      <c r="G692" t="str">
        <f>HYPERLINK(_xlfn.CONCAT("https://tablet.otzar.org/",CHAR(35),"/book/606729/p/-1/t/1/fs/0/start/0/end/0/c"),"תורת אליהו - תנ""""ך")</f>
        <v>תורת אליהו - תנ""ך</v>
      </c>
      <c r="H692" t="str">
        <f>_xlfn.CONCAT("https://tablet.otzar.org/",CHAR(35),"/book/606729/p/-1/t/1/fs/0/start/0/end/0/c")</f>
        <v>https://tablet.otzar.org/#/book/606729/p/-1/t/1/fs/0/start/0/end/0/c</v>
      </c>
    </row>
    <row r="693" spans="1:8" x14ac:dyDescent="0.25">
      <c r="A693">
        <v>157349</v>
      </c>
      <c r="B693" t="s">
        <v>1361</v>
      </c>
      <c r="C693" t="s">
        <v>1144</v>
      </c>
      <c r="D693" t="s">
        <v>10</v>
      </c>
      <c r="E693" t="s">
        <v>208</v>
      </c>
      <c r="F693" t="s">
        <v>85</v>
      </c>
      <c r="G693" t="str">
        <f>HYPERLINK(_xlfn.CONCAT("https://tablet.otzar.org/",CHAR(35),"/book/157349/p/-1/t/1/fs/0/start/0/end/0/c"),"תורת האהל")</f>
        <v>תורת האהל</v>
      </c>
      <c r="H693" t="str">
        <f>_xlfn.CONCAT("https://tablet.otzar.org/",CHAR(35),"/book/157349/p/-1/t/1/fs/0/start/0/end/0/c")</f>
        <v>https://tablet.otzar.org/#/book/157349/p/-1/t/1/fs/0/start/0/end/0/c</v>
      </c>
    </row>
    <row r="694" spans="1:8" x14ac:dyDescent="0.25">
      <c r="A694">
        <v>157389</v>
      </c>
      <c r="B694" t="s">
        <v>1362</v>
      </c>
      <c r="C694" t="s">
        <v>548</v>
      </c>
      <c r="D694" t="s">
        <v>10</v>
      </c>
      <c r="E694" t="s">
        <v>622</v>
      </c>
      <c r="F694" t="s">
        <v>85</v>
      </c>
      <c r="G694" t="str">
        <f>HYPERLINK(_xlfn.CONCAT("https://tablet.otzar.org/",CHAR(35),"/exKotar/157389"),"תורת הבית הארוך והקצר א &lt;מוה""""ק&gt; - 3 כרכים")</f>
        <v>תורת הבית הארוך והקצר א &lt;מוה""ק&gt; - 3 כרכים</v>
      </c>
      <c r="H694" t="str">
        <f>_xlfn.CONCAT("https://tablet.otzar.org/",CHAR(35),"/exKotar/157389")</f>
        <v>https://tablet.otzar.org/#/exKotar/157389</v>
      </c>
    </row>
    <row r="695" spans="1:8" x14ac:dyDescent="0.25">
      <c r="A695">
        <v>155369</v>
      </c>
      <c r="B695" t="s">
        <v>1363</v>
      </c>
      <c r="C695" t="s">
        <v>261</v>
      </c>
      <c r="D695" t="s">
        <v>10</v>
      </c>
      <c r="E695" t="s">
        <v>622</v>
      </c>
      <c r="F695" t="s">
        <v>1364</v>
      </c>
      <c r="G695" t="str">
        <f>HYPERLINK(_xlfn.CONCAT("https://tablet.otzar.org/",CHAR(35),"/book/155369/p/-1/t/1/fs/0/start/0/end/0/c"),"תורת הגר""""א ומשנת החסידות")</f>
        <v>תורת הגר""א ומשנת החסידות</v>
      </c>
      <c r="H695" t="str">
        <f>_xlfn.CONCAT("https://tablet.otzar.org/",CHAR(35),"/book/155369/p/-1/t/1/fs/0/start/0/end/0/c")</f>
        <v>https://tablet.otzar.org/#/book/155369/p/-1/t/1/fs/0/start/0/end/0/c</v>
      </c>
    </row>
    <row r="696" spans="1:8" x14ac:dyDescent="0.25">
      <c r="A696">
        <v>158404</v>
      </c>
      <c r="B696" t="s">
        <v>1365</v>
      </c>
      <c r="C696" t="s">
        <v>396</v>
      </c>
      <c r="D696" t="s">
        <v>10</v>
      </c>
      <c r="E696" t="s">
        <v>592</v>
      </c>
      <c r="F696" t="s">
        <v>85</v>
      </c>
      <c r="G696" t="str">
        <f>HYPERLINK(_xlfn.CONCAT("https://tablet.otzar.org/",CHAR(35),"/book/158404/p/-1/t/1/fs/0/start/0/end/0/c"),"תורת ההגיון בהלכה")</f>
        <v>תורת ההגיון בהלכה</v>
      </c>
      <c r="H696" t="str">
        <f>_xlfn.CONCAT("https://tablet.otzar.org/",CHAR(35),"/book/158404/p/-1/t/1/fs/0/start/0/end/0/c")</f>
        <v>https://tablet.otzar.org/#/book/158404/p/-1/t/1/fs/0/start/0/end/0/c</v>
      </c>
    </row>
    <row r="697" spans="1:8" x14ac:dyDescent="0.25">
      <c r="A697">
        <v>601564</v>
      </c>
      <c r="B697" t="s">
        <v>1366</v>
      </c>
      <c r="C697" t="s">
        <v>1367</v>
      </c>
      <c r="D697" t="s">
        <v>10</v>
      </c>
      <c r="E697" t="s">
        <v>187</v>
      </c>
      <c r="G697" t="str">
        <f>HYPERLINK(_xlfn.CONCAT("https://tablet.otzar.org/",CHAR(35),"/book/601564/p/-1/t/1/fs/0/start/0/end/0/c"),"תורת החטאת &lt;מוה""""ק&gt;")</f>
        <v>תורת החטאת &lt;מוה""ק&gt;</v>
      </c>
      <c r="H697" t="str">
        <f>_xlfn.CONCAT("https://tablet.otzar.org/",CHAR(35),"/book/601564/p/-1/t/1/fs/0/start/0/end/0/c")</f>
        <v>https://tablet.otzar.org/#/book/601564/p/-1/t/1/fs/0/start/0/end/0/c</v>
      </c>
    </row>
    <row r="698" spans="1:8" x14ac:dyDescent="0.25">
      <c r="A698">
        <v>143775</v>
      </c>
      <c r="B698" t="s">
        <v>1368</v>
      </c>
      <c r="C698" t="s">
        <v>152</v>
      </c>
      <c r="D698" t="s">
        <v>10</v>
      </c>
      <c r="E698" t="s">
        <v>132</v>
      </c>
      <c r="F698" t="s">
        <v>241</v>
      </c>
      <c r="G698" t="str">
        <f>HYPERLINK(_xlfn.CONCAT("https://tablet.otzar.org/",CHAR(35),"/exKotar/143775"),"תורת החסידות - 4 כרכים")</f>
        <v>תורת החסידות - 4 כרכים</v>
      </c>
      <c r="H698" t="str">
        <f>_xlfn.CONCAT("https://tablet.otzar.org/",CHAR(35),"/exKotar/143775")</f>
        <v>https://tablet.otzar.org/#/exKotar/143775</v>
      </c>
    </row>
    <row r="699" spans="1:8" x14ac:dyDescent="0.25">
      <c r="A699">
        <v>156235</v>
      </c>
      <c r="B699" t="s">
        <v>1369</v>
      </c>
      <c r="C699" t="s">
        <v>1370</v>
      </c>
      <c r="E699" t="s">
        <v>944</v>
      </c>
      <c r="F699" t="s">
        <v>507</v>
      </c>
      <c r="G699" t="str">
        <f>HYPERLINK(_xlfn.CONCAT("https://tablet.otzar.org/",CHAR(35),"/book/156235/p/-1/t/1/fs/0/start/0/end/0/c"),"תורת הקבלה - רמ""""ק")</f>
        <v>תורת הקבלה - רמ""ק</v>
      </c>
      <c r="H699" t="str">
        <f>_xlfn.CONCAT("https://tablet.otzar.org/",CHAR(35),"/book/156235/p/-1/t/1/fs/0/start/0/end/0/c")</f>
        <v>https://tablet.otzar.org/#/book/156235/p/-1/t/1/fs/0/start/0/end/0/c</v>
      </c>
    </row>
    <row r="700" spans="1:8" x14ac:dyDescent="0.25">
      <c r="A700">
        <v>606737</v>
      </c>
      <c r="B700" t="s">
        <v>1371</v>
      </c>
      <c r="C700" t="s">
        <v>1372</v>
      </c>
      <c r="D700" t="s">
        <v>10</v>
      </c>
      <c r="E700" t="s">
        <v>100</v>
      </c>
      <c r="F700" t="s">
        <v>218</v>
      </c>
      <c r="G700" t="str">
        <f>HYPERLINK(_xlfn.CONCAT("https://tablet.otzar.org/",CHAR(35),"/exKotar/606737"),"תורת הראשונים - 7 כרכים")</f>
        <v>תורת הראשונים - 7 כרכים</v>
      </c>
      <c r="H700" t="str">
        <f>_xlfn.CONCAT("https://tablet.otzar.org/",CHAR(35),"/exKotar/606737")</f>
        <v>https://tablet.otzar.org/#/exKotar/606737</v>
      </c>
    </row>
    <row r="701" spans="1:8" x14ac:dyDescent="0.25">
      <c r="A701">
        <v>155190</v>
      </c>
      <c r="B701" t="s">
        <v>1373</v>
      </c>
      <c r="C701" t="s">
        <v>1374</v>
      </c>
      <c r="D701" t="s">
        <v>10</v>
      </c>
      <c r="E701" t="s">
        <v>92</v>
      </c>
      <c r="F701" t="s">
        <v>33</v>
      </c>
      <c r="G701" t="str">
        <f>HYPERLINK(_xlfn.CONCAT("https://tablet.otzar.org/",CHAR(35),"/book/155190/p/-1/t/1/fs/0/start/0/end/0/c"),"תורת חז""""ל תורה מן השמים")</f>
        <v>תורת חז""ל תורה מן השמים</v>
      </c>
      <c r="H701" t="str">
        <f>_xlfn.CONCAT("https://tablet.otzar.org/",CHAR(35),"/book/155190/p/-1/t/1/fs/0/start/0/end/0/c")</f>
        <v>https://tablet.otzar.org/#/book/155190/p/-1/t/1/fs/0/start/0/end/0/c</v>
      </c>
    </row>
    <row r="702" spans="1:8" x14ac:dyDescent="0.25">
      <c r="A702">
        <v>155513</v>
      </c>
      <c r="B702" t="s">
        <v>1375</v>
      </c>
      <c r="C702" t="s">
        <v>1376</v>
      </c>
      <c r="D702" t="s">
        <v>10</v>
      </c>
      <c r="E702" t="s">
        <v>308</v>
      </c>
      <c r="F702" t="s">
        <v>262</v>
      </c>
      <c r="G702" t="str">
        <f>HYPERLINK(_xlfn.CONCAT("https://tablet.otzar.org/",CHAR(35),"/exKotar/155513"),"תורת חיים - 4 כרכים")</f>
        <v>תורת חיים - 4 כרכים</v>
      </c>
      <c r="H702" t="str">
        <f>_xlfn.CONCAT("https://tablet.otzar.org/",CHAR(35),"/exKotar/155513")</f>
        <v>https://tablet.otzar.org/#/exKotar/155513</v>
      </c>
    </row>
    <row r="703" spans="1:8" x14ac:dyDescent="0.25">
      <c r="A703">
        <v>154852</v>
      </c>
      <c r="B703" t="s">
        <v>1377</v>
      </c>
      <c r="C703" t="s">
        <v>1378</v>
      </c>
      <c r="D703" t="s">
        <v>10</v>
      </c>
      <c r="E703" t="s">
        <v>208</v>
      </c>
      <c r="F703" t="s">
        <v>19</v>
      </c>
      <c r="G703" t="str">
        <f>HYPERLINK(_xlfn.CONCAT("https://tablet.otzar.org/",CHAR(35),"/exKotar/154852"),"תורת חיים &lt;חמשה חומשי תורה&gt;  - 7 כרכים")</f>
        <v>תורת חיים &lt;חמשה חומשי תורה&gt;  - 7 כרכים</v>
      </c>
      <c r="H703" t="str">
        <f>_xlfn.CONCAT("https://tablet.otzar.org/",CHAR(35),"/exKotar/154852")</f>
        <v>https://tablet.otzar.org/#/exKotar/154852</v>
      </c>
    </row>
    <row r="704" spans="1:8" x14ac:dyDescent="0.25">
      <c r="A704">
        <v>194421</v>
      </c>
      <c r="B704" t="s">
        <v>1379</v>
      </c>
      <c r="C704" t="s">
        <v>1378</v>
      </c>
      <c r="D704" t="s">
        <v>10</v>
      </c>
      <c r="E704" t="s">
        <v>65</v>
      </c>
      <c r="F704" t="s">
        <v>19</v>
      </c>
      <c r="G704" t="str">
        <f>HYPERLINK(_xlfn.CONCAT("https://tablet.otzar.org/",CHAR(35),"/exKotar/194421"),"תורת חיים &lt;נ""""ך&gt;  - 2 כרכים")</f>
        <v>תורת חיים &lt;נ""ך&gt;  - 2 כרכים</v>
      </c>
      <c r="H704" t="str">
        <f>_xlfn.CONCAT("https://tablet.otzar.org/",CHAR(35),"/exKotar/194421")</f>
        <v>https://tablet.otzar.org/#/exKotar/194421</v>
      </c>
    </row>
    <row r="705" spans="1:8" x14ac:dyDescent="0.25">
      <c r="A705">
        <v>638129</v>
      </c>
      <c r="B705" t="s">
        <v>1380</v>
      </c>
      <c r="C705" t="s">
        <v>1378</v>
      </c>
      <c r="D705" t="s">
        <v>10</v>
      </c>
      <c r="E705" t="s">
        <v>116</v>
      </c>
      <c r="F705" t="s">
        <v>19</v>
      </c>
      <c r="G705" t="str">
        <f>HYPERLINK(_xlfn.CONCAT("https://tablet.otzar.org/",CHAR(35),"/exKotar/638129"),"תורת חיים &lt;תהלים&gt;  - 3 כרכים")</f>
        <v>תורת חיים &lt;תהלים&gt;  - 3 כרכים</v>
      </c>
      <c r="H705" t="str">
        <f>_xlfn.CONCAT("https://tablet.otzar.org/",CHAR(35),"/exKotar/638129")</f>
        <v>https://tablet.otzar.org/#/exKotar/638129</v>
      </c>
    </row>
    <row r="706" spans="1:8" x14ac:dyDescent="0.25">
      <c r="A706">
        <v>157003</v>
      </c>
      <c r="B706" t="s">
        <v>1381</v>
      </c>
      <c r="C706" t="s">
        <v>167</v>
      </c>
      <c r="D706" t="s">
        <v>10</v>
      </c>
      <c r="E706" t="s">
        <v>140</v>
      </c>
      <c r="G706" t="str">
        <f>HYPERLINK(_xlfn.CONCAT("https://tablet.otzar.org/",CHAR(35),"/book/157003/p/-1/t/1/fs/0/start/0/end/0/c"),"תורת משה והנביאים")</f>
        <v>תורת משה והנביאים</v>
      </c>
      <c r="H706" t="str">
        <f>_xlfn.CONCAT("https://tablet.otzar.org/",CHAR(35),"/book/157003/p/-1/t/1/fs/0/start/0/end/0/c")</f>
        <v>https://tablet.otzar.org/#/book/157003/p/-1/t/1/fs/0/start/0/end/0/c</v>
      </c>
    </row>
    <row r="707" spans="1:8" x14ac:dyDescent="0.25">
      <c r="A707">
        <v>603086</v>
      </c>
      <c r="B707" t="s">
        <v>1382</v>
      </c>
      <c r="C707" t="s">
        <v>1144</v>
      </c>
      <c r="D707" t="s">
        <v>10</v>
      </c>
      <c r="E707" t="s">
        <v>383</v>
      </c>
      <c r="F707" t="s">
        <v>23</v>
      </c>
      <c r="G707" t="str">
        <f>HYPERLINK(_xlfn.CONCAT("https://tablet.otzar.org/",CHAR(35),"/exKotar/603086"),"תחוקה לישראל על פי התורה - 3 כרכים")</f>
        <v>תחוקה לישראל על פי התורה - 3 כרכים</v>
      </c>
      <c r="H707" t="str">
        <f>_xlfn.CONCAT("https://tablet.otzar.org/",CHAR(35),"/exKotar/603086")</f>
        <v>https://tablet.otzar.org/#/exKotar/603086</v>
      </c>
    </row>
    <row r="708" spans="1:8" x14ac:dyDescent="0.25">
      <c r="A708">
        <v>155571</v>
      </c>
      <c r="B708" t="s">
        <v>1383</v>
      </c>
      <c r="C708" t="s">
        <v>1384</v>
      </c>
      <c r="D708" t="s">
        <v>10</v>
      </c>
      <c r="E708" t="s">
        <v>383</v>
      </c>
      <c r="F708" t="s">
        <v>1385</v>
      </c>
      <c r="G708" t="str">
        <f>HYPERLINK(_xlfn.CONCAT("https://tablet.otzar.org/",CHAR(35),"/book/155571/p/-1/t/1/fs/0/start/0/end/0/c"),"תנ""""ך &lt;עפ""""י כתר ארם צובא. מהדורת ברויאר&gt;")</f>
        <v>תנ""ך &lt;עפ""י כתר ארם צובא. מהדורת ברויאר&gt;</v>
      </c>
      <c r="H708" t="str">
        <f>_xlfn.CONCAT("https://tablet.otzar.org/",CHAR(35),"/book/155571/p/-1/t/1/fs/0/start/0/end/0/c")</f>
        <v>https://tablet.otzar.org/#/book/155571/p/-1/t/1/fs/0/start/0/end/0/c</v>
      </c>
    </row>
    <row r="709" spans="1:8" x14ac:dyDescent="0.25">
      <c r="A709">
        <v>194431</v>
      </c>
      <c r="B709" t="s">
        <v>1386</v>
      </c>
      <c r="C709" t="s">
        <v>1387</v>
      </c>
      <c r="D709" t="s">
        <v>10</v>
      </c>
      <c r="E709" t="s">
        <v>65</v>
      </c>
      <c r="F709" t="s">
        <v>19</v>
      </c>
      <c r="G709" t="str">
        <f>HYPERLINK(_xlfn.CONCAT("https://tablet.otzar.org/",CHAR(35),"/book/194431/p/-1/t/1/fs/0/start/0/end/0/c"),"תנ""""ך עם פירוש דעת מקרא &lt;באנגלית&gt; - משלי")</f>
        <v>תנ""ך עם פירוש דעת מקרא &lt;באנגלית&gt; - משלי</v>
      </c>
      <c r="H709" t="str">
        <f>_xlfn.CONCAT("https://tablet.otzar.org/",CHAR(35),"/book/194431/p/-1/t/1/fs/0/start/0/end/0/c")</f>
        <v>https://tablet.otzar.org/#/book/194431/p/-1/t/1/fs/0/start/0/end/0/c</v>
      </c>
    </row>
    <row r="710" spans="1:8" x14ac:dyDescent="0.25">
      <c r="A710">
        <v>154878</v>
      </c>
      <c r="B710" t="s">
        <v>1388</v>
      </c>
      <c r="C710" t="s">
        <v>1389</v>
      </c>
      <c r="D710" t="s">
        <v>10</v>
      </c>
      <c r="E710" t="s">
        <v>723</v>
      </c>
      <c r="F710" t="s">
        <v>19</v>
      </c>
      <c r="G710" t="str">
        <f>HYPERLINK(_xlfn.CONCAT("https://tablet.otzar.org/",CHAR(35),"/exKotar/154878"),"תנ""""ך עם פירוש דעת מקרא - 30 כרכים")</f>
        <v>תנ""ך עם פירוש דעת מקרא - 30 כרכים</v>
      </c>
      <c r="H710" t="str">
        <f>_xlfn.CONCAT("https://tablet.otzar.org/",CHAR(35),"/exKotar/154878")</f>
        <v>https://tablet.otzar.org/#/exKotar/154878</v>
      </c>
    </row>
    <row r="711" spans="1:8" x14ac:dyDescent="0.25">
      <c r="A711">
        <v>638046</v>
      </c>
      <c r="B711" t="s">
        <v>1390</v>
      </c>
      <c r="C711" t="s">
        <v>396</v>
      </c>
      <c r="D711" t="s">
        <v>10</v>
      </c>
      <c r="F711" t="s">
        <v>218</v>
      </c>
      <c r="G711" t="str">
        <f>HYPERLINK(_xlfn.CONCAT("https://tablet.otzar.org/",CHAR(35),"/book/638046/p/-1/t/1/fs/0/start/0/end/0/c"),"תנאי בנישואין ובגט")</f>
        <v>תנאי בנישואין ובגט</v>
      </c>
      <c r="H711" t="str">
        <f>_xlfn.CONCAT("https://tablet.otzar.org/",CHAR(35),"/book/638046/p/-1/t/1/fs/0/start/0/end/0/c")</f>
        <v>https://tablet.otzar.org/#/book/638046/p/-1/t/1/fs/0/start/0/end/0/c</v>
      </c>
    </row>
    <row r="712" spans="1:8" x14ac:dyDescent="0.25">
      <c r="A712">
        <v>169982</v>
      </c>
      <c r="B712" t="s">
        <v>1391</v>
      </c>
      <c r="C712" t="s">
        <v>1392</v>
      </c>
      <c r="D712" t="s">
        <v>10</v>
      </c>
      <c r="E712" t="s">
        <v>325</v>
      </c>
      <c r="F712" t="s">
        <v>85</v>
      </c>
      <c r="G712" t="str">
        <f>HYPERLINK(_xlfn.CONCAT("https://tablet.otzar.org/",CHAR(35),"/book/169982/p/-1/t/1/fs/0/start/0/end/0/c"),"תניא רבתי &lt;מהדורת מוסד הרב קוק&gt;")</f>
        <v>תניא רבתי &lt;מהדורת מוסד הרב קוק&gt;</v>
      </c>
      <c r="H712" t="str">
        <f>_xlfn.CONCAT("https://tablet.otzar.org/",CHAR(35),"/book/169982/p/-1/t/1/fs/0/start/0/end/0/c")</f>
        <v>https://tablet.otzar.org/#/book/169982/p/-1/t/1/fs/0/start/0/end/0/c</v>
      </c>
    </row>
    <row r="713" spans="1:8" x14ac:dyDescent="0.25">
      <c r="A713">
        <v>647289</v>
      </c>
      <c r="B713" t="s">
        <v>1393</v>
      </c>
      <c r="C713" t="s">
        <v>1394</v>
      </c>
      <c r="D713" t="s">
        <v>10</v>
      </c>
      <c r="E713" t="s">
        <v>116</v>
      </c>
      <c r="F713" t="s">
        <v>322</v>
      </c>
      <c r="G713" t="str">
        <f>HYPERLINK(_xlfn.CONCAT("https://tablet.otzar.org/",CHAR(35),"/book/647289/p/-1/t/1/fs/0/start/0/end/0/c"),"תפלה לעני")</f>
        <v>תפלה לעני</v>
      </c>
      <c r="H713" t="str">
        <f>_xlfn.CONCAT("https://tablet.otzar.org/",CHAR(35),"/book/647289/p/-1/t/1/fs/0/start/0/end/0/c")</f>
        <v>https://tablet.otzar.org/#/book/647289/p/-1/t/1/fs/0/start/0/end/0/c</v>
      </c>
    </row>
    <row r="714" spans="1:8" x14ac:dyDescent="0.25">
      <c r="A714">
        <v>170020</v>
      </c>
      <c r="B714" t="s">
        <v>1395</v>
      </c>
      <c r="C714" t="s">
        <v>1396</v>
      </c>
      <c r="D714" t="s">
        <v>10</v>
      </c>
      <c r="E714" t="s">
        <v>325</v>
      </c>
      <c r="F714" t="s">
        <v>55</v>
      </c>
      <c r="G714" t="str">
        <f>HYPERLINK(_xlfn.CONCAT("https://tablet.otzar.org/",CHAR(35),"/book/170020/p/-1/t/1/fs/0/start/0/end/0/c"),"תקון מדות הנפש")</f>
        <v>תקון מדות הנפש</v>
      </c>
      <c r="H714" t="str">
        <f>_xlfn.CONCAT("https://tablet.otzar.org/",CHAR(35),"/book/170020/p/-1/t/1/fs/0/start/0/end/0/c")</f>
        <v>https://tablet.otzar.org/#/book/170020/p/-1/t/1/fs/0/start/0/end/0/c</v>
      </c>
    </row>
    <row r="715" spans="1:8" x14ac:dyDescent="0.25">
      <c r="A715">
        <v>155512</v>
      </c>
      <c r="B715" t="s">
        <v>1397</v>
      </c>
      <c r="C715" t="s">
        <v>462</v>
      </c>
      <c r="D715" t="s">
        <v>10</v>
      </c>
      <c r="E715" t="s">
        <v>745</v>
      </c>
      <c r="F715" t="s">
        <v>507</v>
      </c>
      <c r="G715" t="str">
        <f>HYPERLINK(_xlfn.CONCAT("https://tablet.otzar.org/",CHAR(35),"/book/155512/p/-1/t/1/fs/0/start/0/end/0/c"),"תקוני הזהר עם ניצוצי זהר")</f>
        <v>תקוני הזהר עם ניצוצי זהר</v>
      </c>
      <c r="H715" t="str">
        <f>_xlfn.CONCAT("https://tablet.otzar.org/",CHAR(35),"/book/155512/p/-1/t/1/fs/0/start/0/end/0/c")</f>
        <v>https://tablet.otzar.org/#/book/155512/p/-1/t/1/fs/0/start/0/end/0/c</v>
      </c>
    </row>
    <row r="716" spans="1:8" x14ac:dyDescent="0.25">
      <c r="A716">
        <v>156227</v>
      </c>
      <c r="B716" t="s">
        <v>1398</v>
      </c>
      <c r="C716" t="s">
        <v>835</v>
      </c>
      <c r="D716" t="s">
        <v>10</v>
      </c>
      <c r="E716" t="s">
        <v>143</v>
      </c>
      <c r="F716" t="s">
        <v>12</v>
      </c>
      <c r="G716" t="str">
        <f>HYPERLINK(_xlfn.CONCAT("https://tablet.otzar.org/",CHAR(35),"/book/156227/p/-1/t/1/fs/0/start/0/end/0/c"),"תקופת הגאונים וספרותה")</f>
        <v>תקופת הגאונים וספרותה</v>
      </c>
      <c r="H716" t="str">
        <f>_xlfn.CONCAT("https://tablet.otzar.org/",CHAR(35),"/book/156227/p/-1/t/1/fs/0/start/0/end/0/c")</f>
        <v>https://tablet.otzar.org/#/book/156227/p/-1/t/1/fs/0/start/0/end/0/c</v>
      </c>
    </row>
    <row r="717" spans="1:8" x14ac:dyDescent="0.25">
      <c r="A717">
        <v>157375</v>
      </c>
      <c r="B717" t="s">
        <v>1399</v>
      </c>
      <c r="C717" t="s">
        <v>1400</v>
      </c>
      <c r="D717" t="s">
        <v>10</v>
      </c>
      <c r="E717" t="s">
        <v>92</v>
      </c>
      <c r="F717" t="s">
        <v>59</v>
      </c>
      <c r="G717" t="str">
        <f>HYPERLINK(_xlfn.CONCAT("https://tablet.otzar.org/",CHAR(35),"/exKotar/157375"),"תשובות הגאונים גרש ירחים - 2 כרכים")</f>
        <v>תשובות הגאונים גרש ירחים - 2 כרכים</v>
      </c>
      <c r="H717" t="str">
        <f>_xlfn.CONCAT("https://tablet.otzar.org/",CHAR(35),"/exKotar/157375")</f>
        <v>https://tablet.otzar.org/#/exKotar/157375</v>
      </c>
    </row>
    <row r="718" spans="1:8" x14ac:dyDescent="0.25">
      <c r="A718">
        <v>157352</v>
      </c>
      <c r="B718" t="s">
        <v>1401</v>
      </c>
      <c r="C718" t="s">
        <v>548</v>
      </c>
      <c r="D718" t="s">
        <v>10</v>
      </c>
      <c r="E718" t="s">
        <v>427</v>
      </c>
      <c r="F718" t="s">
        <v>59</v>
      </c>
      <c r="G718" t="str">
        <f>HYPERLINK(_xlfn.CONCAT("https://tablet.otzar.org/",CHAR(35),"/exKotar/157352"),"תשובות הרשב""""א &lt;מוה""""ק&gt;  - 4 כרכים")</f>
        <v>תשובות הרשב""א &lt;מוה""ק&gt;  - 4 כרכים</v>
      </c>
      <c r="H718" t="str">
        <f>_xlfn.CONCAT("https://tablet.otzar.org/",CHAR(35),"/exKotar/157352")</f>
        <v>https://tablet.otzar.org/#/exKotar/157352</v>
      </c>
    </row>
    <row r="719" spans="1:8" x14ac:dyDescent="0.25">
      <c r="A719">
        <v>170000</v>
      </c>
      <c r="B719" t="s">
        <v>1402</v>
      </c>
      <c r="C719" t="s">
        <v>1403</v>
      </c>
      <c r="D719" t="s">
        <v>10</v>
      </c>
      <c r="E719" t="s">
        <v>157</v>
      </c>
      <c r="F719" t="s">
        <v>59</v>
      </c>
      <c r="G719" t="str">
        <f>HYPERLINK(_xlfn.CONCAT("https://tablet.otzar.org/",CHAR(35),"/exKotar/170000"),"תשובות ופירושי רב שרירא גאון - 2 כרכים")</f>
        <v>תשובות ופירושי רב שרירא גאון - 2 כרכים</v>
      </c>
      <c r="H719" t="str">
        <f>_xlfn.CONCAT("https://tablet.otzar.org/",CHAR(35),"/exKotar/170000")</f>
        <v>https://tablet.otzar.org/#/exKotar/170000</v>
      </c>
    </row>
    <row r="720" spans="1:8" x14ac:dyDescent="0.25">
      <c r="A720">
        <v>155534</v>
      </c>
      <c r="B720" t="s">
        <v>1404</v>
      </c>
      <c r="C720" t="s">
        <v>255</v>
      </c>
      <c r="D720" t="s">
        <v>10</v>
      </c>
      <c r="E720" t="s">
        <v>130</v>
      </c>
      <c r="F720" t="s">
        <v>123</v>
      </c>
      <c r="G720" t="str">
        <f>HYPERLINK(_xlfn.CONCAT("https://tablet.otzar.org/",CHAR(35),"/book/155534/p/-1/t/1/fs/0/start/0/end/0/c"),"תשובות ופסקים לראב""""ד")</f>
        <v>תשובות ופסקים לראב""ד</v>
      </c>
      <c r="H720" t="str">
        <f>_xlfn.CONCAT("https://tablet.otzar.org/",CHAR(35),"/book/155534/p/-1/t/1/fs/0/start/0/end/0/c")</f>
        <v>https://tablet.otzar.org/#/book/155534/p/-1/t/1/fs/0/start/0/end/0/c</v>
      </c>
    </row>
    <row r="721" spans="1:8" x14ac:dyDescent="0.25">
      <c r="A721">
        <v>155268</v>
      </c>
      <c r="B721" t="s">
        <v>1405</v>
      </c>
      <c r="C721" t="s">
        <v>1406</v>
      </c>
      <c r="D721" t="s">
        <v>10</v>
      </c>
      <c r="E721" t="s">
        <v>1407</v>
      </c>
      <c r="F721" t="s">
        <v>123</v>
      </c>
      <c r="G721" t="str">
        <f>HYPERLINK(_xlfn.CONCAT("https://tablet.otzar.org/",CHAR(35),"/exKotar/155268"),"תשובות פסקים ומנהגים - 4 כרכים")</f>
        <v>תשובות פסקים ומנהגים - 4 כרכים</v>
      </c>
      <c r="H721" t="str">
        <f>_xlfn.CONCAT("https://tablet.otzar.org/",CHAR(35),"/exKotar/155268")</f>
        <v>https://tablet.otzar.org/#/exKotar/155268</v>
      </c>
    </row>
    <row r="722" spans="1:8" x14ac:dyDescent="0.25">
      <c r="A722">
        <v>10813</v>
      </c>
      <c r="B722" t="s">
        <v>1408</v>
      </c>
      <c r="C722" t="s">
        <v>1409</v>
      </c>
      <c r="D722" t="s">
        <v>10</v>
      </c>
      <c r="E722" t="s">
        <v>32</v>
      </c>
      <c r="F722" t="s">
        <v>1410</v>
      </c>
      <c r="G722" t="str">
        <f>HYPERLINK(_xlfn.CONCAT("https://tablet.otzar.org/",CHAR(35),"/book/10813/p/-1/t/1/fs/0/start/0/end/0/c"),"תשובות רב שר שלום גאון")</f>
        <v>תשובות רב שר שלום גאון</v>
      </c>
      <c r="H722" t="str">
        <f>_xlfn.CONCAT("https://tablet.otzar.org/",CHAR(35),"/book/10813/p/-1/t/1/fs/0/start/0/end/0/c")</f>
        <v>https://tablet.otzar.org/#/book/10813/p/-1/t/1/fs/0/start/0/end/0/c</v>
      </c>
    </row>
    <row r="723" spans="1:8" x14ac:dyDescent="0.25">
      <c r="A723">
        <v>155566</v>
      </c>
      <c r="B723" t="s">
        <v>1411</v>
      </c>
      <c r="C723" t="s">
        <v>45</v>
      </c>
      <c r="D723" t="s">
        <v>10</v>
      </c>
      <c r="E723" t="s">
        <v>46</v>
      </c>
      <c r="F723" t="s">
        <v>59</v>
      </c>
      <c r="G723" t="str">
        <f>HYPERLINK(_xlfn.CONCAT("https://tablet.otzar.org/",CHAR(35),"/book/155566/p/-1/t/1/fs/0/start/0/end/0/c"),"תשובות רבי מיימון")</f>
        <v>תשובות רבי מיימון</v>
      </c>
      <c r="H723" t="str">
        <f>_xlfn.CONCAT("https://tablet.otzar.org/",CHAR(35),"/book/155566/p/-1/t/1/fs/0/start/0/end/0/c")</f>
        <v>https://tablet.otzar.org/#/book/155566/p/-1/t/1/fs/0/start/0/end/0/c</v>
      </c>
    </row>
    <row r="724" spans="1:8" x14ac:dyDescent="0.25">
      <c r="A724">
        <v>12024</v>
      </c>
      <c r="B724" t="s">
        <v>1412</v>
      </c>
      <c r="C724" t="s">
        <v>546</v>
      </c>
      <c r="D724" t="s">
        <v>10</v>
      </c>
      <c r="E724" t="s">
        <v>204</v>
      </c>
      <c r="F724" t="s">
        <v>123</v>
      </c>
      <c r="G724" t="str">
        <f>HYPERLINK(_xlfn.CONCAT("https://tablet.otzar.org/",CHAR(35),"/book/12024/p/-1/t/1/fs/0/start/0/end/0/c"),"תשובות רבינו משה בן נחמן")</f>
        <v>תשובות רבינו משה בן נחמן</v>
      </c>
      <c r="H724" t="str">
        <f>_xlfn.CONCAT("https://tablet.otzar.org/",CHAR(35),"/book/12024/p/-1/t/1/fs/0/start/0/end/0/c")</f>
        <v>https://tablet.otzar.org/#/book/12024/p/-1/t/1/fs/0/start/0/end/0/c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books מאגרים - מוסד הרב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2025-03-24T17:15:48Z</dcterms:created>
  <dcterms:modified xsi:type="dcterms:W3CDTF">2025-03-24T17:15:48Z</dcterms:modified>
</cp:coreProperties>
</file>