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E47F8B99-929E-4E20-BC58-235B8E1801DC}" xr6:coauthVersionLast="47" xr6:coauthVersionMax="47" xr10:uidLastSave="{00000000-0000-0000-0000-000000000000}"/>
  <bookViews>
    <workbookView xWindow="-120" yWindow="-120" windowWidth="29040" windowHeight="15720" xr2:uid="{E9E51513-768D-45E8-AFDE-8E9EB95781C0}"/>
  </bookViews>
  <sheets>
    <sheet name="kookBT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</calcChain>
</file>

<file path=xl/sharedStrings.xml><?xml version="1.0" encoding="utf-8"?>
<sst xmlns="http://schemas.openxmlformats.org/spreadsheetml/2006/main" count="2563" uniqueCount="1064">
  <si>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</si>
  <si>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</si>
  <si>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</si>
  <si>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</si>
  <si>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</si>
  <si>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</si>
  <si>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</si>
  <si>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</si>
  <si>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אבותינו</t>
  </si>
  <si>
    <t>ילין, יצחק יעקב בן צבי הירש</t>
  </si>
  <si>
    <t>ירושלים</t>
  </si>
  <si>
    <t>תשכ"ו</t>
  </si>
  <si>
    <t>תולדות עם ישראל</t>
  </si>
  <si>
    <t>אביי ורבא</t>
  </si>
  <si>
    <t>מימון, יהודה ליב בן אברהם אלימלך הכהן</t>
  </si>
  <si>
    <t>תשכ"ה</t>
  </si>
  <si>
    <t>אבן עזרא &lt;מוה"ק&gt;  - 3 כרכים</t>
  </si>
  <si>
    <t>אבן-עזרא, אברהם בן מאיר</t>
  </si>
  <si>
    <t>תשל"ז</t>
  </si>
  <si>
    <t>תנ''ך</t>
  </si>
  <si>
    <t>אגרות הרמב"ם &lt;מקור ותרגום&gt;</t>
  </si>
  <si>
    <t>משה בן מימון (רמב"ם) - קאפח, יוסף בן דוד (מתרגם)</t>
  </si>
  <si>
    <t>תשנ"ד</t>
  </si>
  <si>
    <t>הלכה ומנהג, נושאים שונים</t>
  </si>
  <si>
    <t>אגרות צפון</t>
  </si>
  <si>
    <t>הירש, שמשון בן רפאל</t>
  </si>
  <si>
    <t>תשל"ו</t>
  </si>
  <si>
    <t>מחשבה ומוסר, נושאים שונים</t>
  </si>
  <si>
    <t>אגרות רבי יצחק אייזיק הלוי</t>
  </si>
  <si>
    <t>הלוי, יצחק איזיק בן אליהו - רייכל, אשר</t>
  </si>
  <si>
    <t>תשל"ב</t>
  </si>
  <si>
    <t>נושאים שונים</t>
  </si>
  <si>
    <t>אגרת בעלי חיים</t>
  </si>
  <si>
    <t>קלונימוס בן קלונימוס</t>
  </si>
  <si>
    <t>תש"ט</t>
  </si>
  <si>
    <t>שאר ספרי חז''ל</t>
  </si>
  <si>
    <t>אגרת המופת</t>
  </si>
  <si>
    <t>אבן-ג'אמע, שמואל בן יעקב</t>
  </si>
  <si>
    <t>תשע"ח</t>
  </si>
  <si>
    <t>אגרת הנחמה &lt;מוה"ק&gt;</t>
  </si>
  <si>
    <t>מימון בן יוסף</t>
  </si>
  <si>
    <t>תשס"ח</t>
  </si>
  <si>
    <t>אגרת שנית של רב שרירא גאון &lt;מוה"ק&gt;</t>
  </si>
  <si>
    <t>שרירא בן חנניה גאון</t>
  </si>
  <si>
    <t>תש"פ</t>
  </si>
  <si>
    <t>אדמו"רים שנספו בשואה</t>
  </si>
  <si>
    <t>אונגר, מנשה</t>
  </si>
  <si>
    <t>תשכ"ט</t>
  </si>
  <si>
    <t>אדרת אליהו - 2 כרכים</t>
  </si>
  <si>
    <t>גוטמאכר, אליהו בן שלמה</t>
  </si>
  <si>
    <t>תשמ"ד</t>
  </si>
  <si>
    <t>שאלות ותשובות</t>
  </si>
  <si>
    <t>אדרת אליהו &lt;מהדורת מוסד הרב קוק&gt; - 3 כרכים</t>
  </si>
  <si>
    <t>אליהו בן שלמה זלמן (הגר"א)</t>
  </si>
  <si>
    <t>תשפ"ג</t>
  </si>
  <si>
    <t>אוסף כתביו של דב זלוטניק (באנגלית)</t>
  </si>
  <si>
    <t>זלוטניק, דב</t>
  </si>
  <si>
    <t>תשע"ה</t>
  </si>
  <si>
    <t>אוצר האגדה - 3 כרכים</t>
  </si>
  <si>
    <t>גרוס, משה דוד בן שמואל</t>
  </si>
  <si>
    <t>תשי"ד - תשט"ו</t>
  </si>
  <si>
    <t>נושאים שונים, תלמוד בבלי</t>
  </si>
  <si>
    <t>אוצר התורה - 4 כרכים</t>
  </si>
  <si>
    <t>שלזינגר, אליהו בן אהרן צבי</t>
  </si>
  <si>
    <t>תשע"ג</t>
  </si>
  <si>
    <t>אוצר התרגום</t>
  </si>
  <si>
    <t>קוסובסקי, חיים יהושע בן-ציון בן אברהם אבלי</t>
  </si>
  <si>
    <t>תרצ"ג - ת"ש</t>
  </si>
  <si>
    <t>נושאים שונים, תנ''ך</t>
  </si>
  <si>
    <t>אורות הרמב"ם</t>
  </si>
  <si>
    <t>וילמן, פינחס הכהן</t>
  </si>
  <si>
    <t>תשס"ג</t>
  </si>
  <si>
    <t>הלכה ומנהג</t>
  </si>
  <si>
    <t>אורח משפט</t>
  </si>
  <si>
    <t>קוק, אברהם יצחק בן שלמה זלמן הכהן</t>
  </si>
  <si>
    <t>תשמ"ה</t>
  </si>
  <si>
    <t>אורחות משפט</t>
  </si>
  <si>
    <t>אושינסקי, יצחק צבי</t>
  </si>
  <si>
    <t>תשס"ד</t>
  </si>
  <si>
    <t>אורי וישעי - 2 כרכים</t>
  </si>
  <si>
    <t>ישעיהו, נריה</t>
  </si>
  <si>
    <t>אחידות ושוני במלאכות שבת</t>
  </si>
  <si>
    <t>נחשון, אברהם (קופרמן)</t>
  </si>
  <si>
    <t>תשע"ז</t>
  </si>
  <si>
    <t>הלכה ומנהג, מועדי ישראל</t>
  </si>
  <si>
    <t>אטלס דעת מקרא - 2 כרכים</t>
  </si>
  <si>
    <t>אליצור, יהודה - קיל, יהודה</t>
  </si>
  <si>
    <t>אישים שהכרתי</t>
  </si>
  <si>
    <t>זיידמן, הלל</t>
  </si>
  <si>
    <t>תש"ל</t>
  </si>
  <si>
    <t>איתן אריה</t>
  </si>
  <si>
    <t>ראזען, אברהם ליב</t>
  </si>
  <si>
    <t>הלכה ומנהג, שאלות ותשובות</t>
  </si>
  <si>
    <t>אלה הם מועדי - 3 כרכים</t>
  </si>
  <si>
    <t>דרושים, מועדי ישראל</t>
  </si>
  <si>
    <t>אליבא דאמת</t>
  </si>
  <si>
    <t>אמת, יהונתן</t>
  </si>
  <si>
    <t>הלכה ומנהג, תלמוד בבלי</t>
  </si>
  <si>
    <t>אמר ודעת - 2 כרכים</t>
  </si>
  <si>
    <t>רוזנברג, יהודה יודל בן ישראל יצחק</t>
  </si>
  <si>
    <t>דרושים</t>
  </si>
  <si>
    <t>אני מאמין</t>
  </si>
  <si>
    <t>אליאב, מרדכי</t>
  </si>
  <si>
    <t>תשס"ו</t>
  </si>
  <si>
    <t>אנציקלופדיה לחסידות - 3 כרכים</t>
  </si>
  <si>
    <t>אלפסי, יצחק</t>
  </si>
  <si>
    <t>תשמ"ו</t>
  </si>
  <si>
    <t>חסידות, מחשבה ומוסר, נושאים שונים</t>
  </si>
  <si>
    <t>אעברה נא</t>
  </si>
  <si>
    <t>מנוביץ-מעיני, רבקה</t>
  </si>
  <si>
    <t>נושאים שונים, תולדות עם ישראל</t>
  </si>
  <si>
    <t>ארץ חמדה - 2 כרכים</t>
  </si>
  <si>
    <t>ישראלי, שאול בן בנימין</t>
  </si>
  <si>
    <t>חש"ד</t>
  </si>
  <si>
    <t>ארץ ישראל בספרות התשובות - 3 כרכים</t>
  </si>
  <si>
    <t>שציפנסקי, ישראל</t>
  </si>
  <si>
    <t>תשכ"ז</t>
  </si>
  <si>
    <t>ארשת - ג</t>
  </si>
  <si>
    <t>ארשת</t>
  </si>
  <si>
    <t>תשי"ט - תשמ"א</t>
  </si>
  <si>
    <t>קבצים וכתבי עת, ספרי זכרון ויובל</t>
  </si>
  <si>
    <t>אשת חיל מבואר ומפורש</t>
  </si>
  <si>
    <t>שפירא, נתן דוד (עורך)</t>
  </si>
  <si>
    <t>אתקינו סעודתא</t>
  </si>
  <si>
    <t>תשע"ב</t>
  </si>
  <si>
    <t>באר השר</t>
  </si>
  <si>
    <t>הירש, שמשון בן רפאל - בראור יצחק</t>
  </si>
  <si>
    <t>תשע"ו</t>
  </si>
  <si>
    <t>בחגוי הסלע - 3 כרכים</t>
  </si>
  <si>
    <t>פרשל, חגי בן טוביה</t>
  </si>
  <si>
    <t>ביאור הגר"א &lt;באר אליהו&gt; - הלכות דיינים</t>
  </si>
  <si>
    <t>תשס"ב</t>
  </si>
  <si>
    <t>שלחן ערוך ומפרשיו</t>
  </si>
  <si>
    <t>ביאור הגר"א &lt;ברכת אליהו&gt;  - 3 כרכים</t>
  </si>
  <si>
    <t>אליהו בן שלמה זלמן (הגר"א) - רקובר, ברוך (מפרש)</t>
  </si>
  <si>
    <t>תשכ"ח</t>
  </si>
  <si>
    <t>ביאור הגר"א לנ"ך - 6 כרכים</t>
  </si>
  <si>
    <t>ביאור ספורנו על התורה</t>
  </si>
  <si>
    <t>ספורנו, עובדיה בן יעקב</t>
  </si>
  <si>
    <t>תשס"ז</t>
  </si>
  <si>
    <t>ביאורי החסידות לנ"ך - 2 כרכים</t>
  </si>
  <si>
    <t>חסידה, ישראל יצחק בן מנחם זאב</t>
  </si>
  <si>
    <t>תש"ס</t>
  </si>
  <si>
    <t>ביאורי החסידות לש"ס</t>
  </si>
  <si>
    <t>תשל"ה</t>
  </si>
  <si>
    <t>משנה, תלמוד בבלי, תלמוד ירושלמי</t>
  </si>
  <si>
    <t>בינת ברכה - הלכות ברכות</t>
  </si>
  <si>
    <t>קמינצקי, אסף</t>
  </si>
  <si>
    <t>תשפ"א</t>
  </si>
  <si>
    <t>בירור מושגים</t>
  </si>
  <si>
    <t>לב, זאב</t>
  </si>
  <si>
    <t>תשל"ח</t>
  </si>
  <si>
    <t>תלמוד בבלי</t>
  </si>
  <si>
    <t>בית אפרים - 2 כרכים</t>
  </si>
  <si>
    <t>מרגליות, אפרים זלמן בן מנחם מאנוש</t>
  </si>
  <si>
    <t>בית הבחירה - ב"ק</t>
  </si>
  <si>
    <t>מאירי, מנחם בן שלמה</t>
  </si>
  <si>
    <t>תש"י</t>
  </si>
  <si>
    <t>בית התלמוד - 8 כרכים</t>
  </si>
  <si>
    <t>קובץ כולל אברכים בית התלמוד</t>
  </si>
  <si>
    <t>בית מרדכי - שו"ת ומחקרים בהלכה</t>
  </si>
  <si>
    <t>פוגלמן, מרדכי בן מנחם נחום</t>
  </si>
  <si>
    <t>תשל"א</t>
  </si>
  <si>
    <t>במיצר</t>
  </si>
  <si>
    <t>קיסעלגאף, זלמן נתן</t>
  </si>
  <si>
    <t>דרושים, נושאים שונים</t>
  </si>
  <si>
    <t>במעיני חסידות איזביצא - ראדזין</t>
  </si>
  <si>
    <t>שרגאי, שלמה זלמן</t>
  </si>
  <si>
    <t>תש"מ</t>
  </si>
  <si>
    <t>חסידות</t>
  </si>
  <si>
    <t>במצודה הפרוסה</t>
  </si>
  <si>
    <t>גרשוני, בן ציון</t>
  </si>
  <si>
    <t>תשכ"ב</t>
  </si>
  <si>
    <t>במרכזים ובתפוצות בתקופת הגאונים</t>
  </si>
  <si>
    <t>אברמסון, שרגא בן קלמן</t>
  </si>
  <si>
    <t>בנין עולם - שו"ת</t>
  </si>
  <si>
    <t>חבר, יצחק איזיק בן יעקב</t>
  </si>
  <si>
    <t>תשמ"ח</t>
  </si>
  <si>
    <t>בעל המאור עם השגות הראב"ד 'כתוב שם' - ר"ה, סוכה</t>
  </si>
  <si>
    <t>זרחיה בן יצחק הלוי גירונדי (רז"ה)</t>
  </si>
  <si>
    <t>בעלי הנפש לראב"ד בצירוף סלע המחלקות לרז"ה</t>
  </si>
  <si>
    <t>אברהם בן דוד (הראב"ד השלישי)</t>
  </si>
  <si>
    <t>בעלי תוספות על התורה</t>
  </si>
  <si>
    <t>בעלי התוספות</t>
  </si>
  <si>
    <t>בעקבות היראה</t>
  </si>
  <si>
    <t>קפלן, אברהם אליהו בן אברהם אליהו</t>
  </si>
  <si>
    <t>מחשבה ומוסר</t>
  </si>
  <si>
    <t>בעקבות המועדים והזמנים</t>
  </si>
  <si>
    <t>אינפלד, צבי</t>
  </si>
  <si>
    <t>תשע"ט</t>
  </si>
  <si>
    <t>מועדי ישראל</t>
  </si>
  <si>
    <t>בשבילי מוסר</t>
  </si>
  <si>
    <t>בן אמוזג, אליהו בן אברהם</t>
  </si>
  <si>
    <t>בשערי ספר</t>
  </si>
  <si>
    <t>בן מנחם,נפתלי</t>
  </si>
  <si>
    <t>בתי הכנסיות בארץ - ישראל</t>
  </si>
  <si>
    <t>פינקרפלד, יעקב בן יואל</t>
  </si>
  <si>
    <t>תש"ו</t>
  </si>
  <si>
    <t>בתי כנסת בפולין וחורבנם</t>
  </si>
  <si>
    <t>דוידוביץ, דוד בן יוסף</t>
  </si>
  <si>
    <t>תש"ך</t>
  </si>
  <si>
    <t>גאולת אברהם</t>
  </si>
  <si>
    <t>אברהם בן אליהו מווילנא</t>
  </si>
  <si>
    <t>מועדי ישראל, תנ''ך</t>
  </si>
  <si>
    <t>גנוזות רש"י</t>
  </si>
  <si>
    <t>סגל, יוסף בן ירחמאל</t>
  </si>
  <si>
    <t>תשל"ט</t>
  </si>
  <si>
    <t>גנזי משנה</t>
  </si>
  <si>
    <t>כץ, אברהם יצחק בן ראובן</t>
  </si>
  <si>
    <t>דברי דוד - טורי זהב</t>
  </si>
  <si>
    <t>דוד בן שמואל הלוי</t>
  </si>
  <si>
    <t>דברי יהושע - 3 כרכים</t>
  </si>
  <si>
    <t>קניאל, יהושע בן ישראל זליג</t>
  </si>
  <si>
    <t>דרושים, הלכה ומנהג, תולדות עם ישראל</t>
  </si>
  <si>
    <t>דברי יוסף - 2 כרכים</t>
  </si>
  <si>
    <t>קאנוויץ, יוסף בן אליה חיים</t>
  </si>
  <si>
    <t>תשנ"ח</t>
  </si>
  <si>
    <t>דרושים, תנ''ך</t>
  </si>
  <si>
    <t>דברי מלכיאל - 3 כרכים</t>
  </si>
  <si>
    <t>טננבוים, מלכיאל צבי בן יונה הלוי</t>
  </si>
  <si>
    <t>דגל ראובן - ג</t>
  </si>
  <si>
    <t>כ"ץ, ראובן בן שמעון הכהן</t>
  </si>
  <si>
    <t>תשכ"ג</t>
  </si>
  <si>
    <t>דודי נתן - 2 כרכים</t>
  </si>
  <si>
    <t>סגל, נתן דוד בן מאיר אריה</t>
  </si>
  <si>
    <t>דורש טוב</t>
  </si>
  <si>
    <t>פודור, יונה</t>
  </si>
  <si>
    <t>דין השיר</t>
  </si>
  <si>
    <t>מירסקי, אהרן</t>
  </si>
  <si>
    <t>תפלות בקשות פיוטים ושירה</t>
  </si>
  <si>
    <t>דם ודמע בגיטו לודז'</t>
  </si>
  <si>
    <t>הארצשטארק, זושא</t>
  </si>
  <si>
    <t>דמויות ואירועים היסטורים</t>
  </si>
  <si>
    <t>לוין, יצחק בן אהרן</t>
  </si>
  <si>
    <t>דעת כהן</t>
  </si>
  <si>
    <t>תשנ"ג</t>
  </si>
  <si>
    <t>דעת עזרא &lt;על פירוש ראב"ע&gt;  - 6 כרכים</t>
  </si>
  <si>
    <t>שינפלד, נחמיה בן משה חיים</t>
  </si>
  <si>
    <t>תשע"א</t>
  </si>
  <si>
    <t>דקדוק אליהו &lt;מהדורה חדשה&gt;</t>
  </si>
  <si>
    <t>דרישת ציון</t>
  </si>
  <si>
    <t>קאלישר, צבי הירש בן שלמה</t>
  </si>
  <si>
    <t>דרכי רש"י</t>
  </si>
  <si>
    <t>הרצג, ישראל איסר צבי בן דוד</t>
  </si>
  <si>
    <t>תשפ"ב</t>
  </si>
  <si>
    <t>דרשות בית דוד</t>
  </si>
  <si>
    <t>רובין, דוד טבל בן משה</t>
  </si>
  <si>
    <t>דרושים, מועדי ישראל, תנ''ך</t>
  </si>
  <si>
    <t>דרשות הר"ן השלם מנוקד</t>
  </si>
  <si>
    <t>נסים בן ראובן גירונדי (ר"ן) - קצנלנבוגן, מרדכי ליב</t>
  </si>
  <si>
    <t>דרשות הר"ן השלם עם פירוש בארות משה</t>
  </si>
  <si>
    <t>תשס"ט</t>
  </si>
  <si>
    <t>דרשות נחלת דוד</t>
  </si>
  <si>
    <t>האתרוג</t>
  </si>
  <si>
    <t>גולדשמידט, אליעזר - בר-יוסף, משה</t>
  </si>
  <si>
    <t>הבית השני בתפארתו</t>
  </si>
  <si>
    <t>אייבשיץ, אלחנן</t>
  </si>
  <si>
    <t>תשנ"ו</t>
  </si>
  <si>
    <t>הגדה של פסח &lt;יד מצרים&gt;</t>
  </si>
  <si>
    <t>הגדה של פסח &lt;שירת מרים&gt; - הגדה ממקורה</t>
  </si>
  <si>
    <t>רימון, יוסף צבי</t>
  </si>
  <si>
    <t>הגדה של פסח &lt;מדה כנגד מדה&gt; - 2 כרכים</t>
  </si>
  <si>
    <t>פסין, אהרן יהושע</t>
  </si>
  <si>
    <t>הגדה של פסח עם באור אור ישרים</t>
  </si>
  <si>
    <t>הלר, יחיאל בן אהרן</t>
  </si>
  <si>
    <t>הגדה של פסח עם ביאור תולדות אדם &lt;מהדורה חדשה&gt;</t>
  </si>
  <si>
    <t>דנציג, אברהם בן יחיאל מיכל</t>
  </si>
  <si>
    <t>הגדה של פסח עם פירוש זבח פסח</t>
  </si>
  <si>
    <t>אברבנאל, יצחק בן יהודה</t>
  </si>
  <si>
    <t>הגדה של פסח עם תורת הראשונים</t>
  </si>
  <si>
    <t>אריאלי, אביגדור - קובץ ראשונים</t>
  </si>
  <si>
    <t>הגדת אור טוביה</t>
  </si>
  <si>
    <t>הגיוני הלכה</t>
  </si>
  <si>
    <t>מירסקי, יצחק</t>
  </si>
  <si>
    <t>תשמ"ט</t>
  </si>
  <si>
    <t>הדפוס העברי בקרימונה</t>
  </si>
  <si>
    <t xml:space="preserve">בניהו, מאיר </t>
  </si>
  <si>
    <t>הדקדוק כיסוד בהלכה</t>
  </si>
  <si>
    <t>ילין, יצחק יעקב</t>
  </si>
  <si>
    <t>תשל"ג</t>
  </si>
  <si>
    <t>הדר איתמר</t>
  </si>
  <si>
    <t>רבינוביץ, נחום אליעזר בן איתמר</t>
  </si>
  <si>
    <t>הדרת אליהו</t>
  </si>
  <si>
    <t>הדרת קודש</t>
  </si>
  <si>
    <t>אליהו בן שלמה זלמן (הגר"א) - קמינצקי, דוד</t>
  </si>
  <si>
    <t>תשע"ד</t>
  </si>
  <si>
    <t>ההר הטוב</t>
  </si>
  <si>
    <t>מעיני, דוב</t>
  </si>
  <si>
    <t>החוזה מלובלין</t>
  </si>
  <si>
    <t>הירושלמי המפורש - ברכות</t>
  </si>
  <si>
    <t>גורן, שלמה בן אברהם</t>
  </si>
  <si>
    <t>תשכ"א</t>
  </si>
  <si>
    <t>תלמוד ירושלמי</t>
  </si>
  <si>
    <t>הכוזרי השני מטה דן</t>
  </si>
  <si>
    <t>ניטו, דוד בן פינחס</t>
  </si>
  <si>
    <t>תשי"ח</t>
  </si>
  <si>
    <t>הכתב והקבלה &lt;מוה"ק&gt;  - 2 כרכים</t>
  </si>
  <si>
    <t>מקלנבורג, יעקב צבי בן גמליאל</t>
  </si>
  <si>
    <t>הליכות שבא</t>
  </si>
  <si>
    <t>אלמולי, שלמה בן יעקב</t>
  </si>
  <si>
    <t>תש"ה</t>
  </si>
  <si>
    <t>הלכה ממקורה</t>
  </si>
  <si>
    <t>הלכות גדולות &lt;מוה"ק&gt; - 2 כרכים</t>
  </si>
  <si>
    <t>קיירא, שמעון</t>
  </si>
  <si>
    <t>הלכות והליכות בחסידות</t>
  </si>
  <si>
    <t>ורטהיים, אהרן</t>
  </si>
  <si>
    <t>הלכות פסוקות השלם - 4 כרכים</t>
  </si>
  <si>
    <t>יהודאי בן נחמן גאון</t>
  </si>
  <si>
    <t>הלכות פסוקות מן הגניזה</t>
  </si>
  <si>
    <t>הלכות רב אלפס - מסכת עבודה זרה</t>
  </si>
  <si>
    <t>אלפאסי, יצחק בן יעקב (רי"ף)</t>
  </si>
  <si>
    <t>הלכות רב אלפס &lt;מוה"ק&gt;  - 3 כרכים</t>
  </si>
  <si>
    <t>הלכות רופאים ורפואה</t>
  </si>
  <si>
    <t>שטיינברג, אברהם</t>
  </si>
  <si>
    <t>הלכות תפילה</t>
  </si>
  <si>
    <t>ברופסקי, דוד</t>
  </si>
  <si>
    <t>הלכות תשובה לרמב"ם &lt;מוה"ק&gt;</t>
  </si>
  <si>
    <t>משה בן מימון (רמב"ם)</t>
  </si>
  <si>
    <t>המדרש לאור השפת אמת הפרי צדיק והשם משמואל</t>
  </si>
  <si>
    <t>רז, ראובן</t>
  </si>
  <si>
    <t>המית הלב</t>
  </si>
  <si>
    <t>מירסקי, דניאל</t>
  </si>
  <si>
    <t>המלבי"ם</t>
  </si>
  <si>
    <t>רוזנבלום, נח ח.</t>
  </si>
  <si>
    <t>המצוות כסמלים</t>
  </si>
  <si>
    <t>המצפה על הרמב"ם - 3 כרכים</t>
  </si>
  <si>
    <t>פולין, משה צבי בן אברהם נח</t>
  </si>
  <si>
    <t>תשס"ה</t>
  </si>
  <si>
    <t>המקרא והמסורה</t>
  </si>
  <si>
    <t>מרגליות, ראובן בן משה</t>
  </si>
  <si>
    <t>תולדות עם ישראל, תנ''ך</t>
  </si>
  <si>
    <t>הסכמה ורשות בדפוסי ויניציאה</t>
  </si>
  <si>
    <t>הספר - 2 כרכים</t>
  </si>
  <si>
    <t>מובשוביץ, יוסף אליהו (עורך)</t>
  </si>
  <si>
    <t>הערוך &lt;יקר הערך&gt; - שבת</t>
  </si>
  <si>
    <t>נתן בן יחיאל מרומא - הלוי, יוסף בן נפתלי הירץ</t>
  </si>
  <si>
    <t>תשי"ט</t>
  </si>
  <si>
    <t>הקהל</t>
  </si>
  <si>
    <t>קובץ</t>
  </si>
  <si>
    <t>הרא"ש - רבנו אשר ב"ר יחיאל וצאצאיו</t>
  </si>
  <si>
    <t>פריימן, אברהם חיים</t>
  </si>
  <si>
    <t>הרבי מקוצק</t>
  </si>
  <si>
    <t>השומר גופי אנכי</t>
  </si>
  <si>
    <t>קאופמן, מיכאל</t>
  </si>
  <si>
    <t>התקנות בישראל - 4 כרכים</t>
  </si>
  <si>
    <t>ופקדת נוך</t>
  </si>
  <si>
    <t>אברהמוב, ארז</t>
  </si>
  <si>
    <t>זבחי ראיה</t>
  </si>
  <si>
    <t>זהר חדש עם ניצוצי זהר</t>
  </si>
  <si>
    <t>זוהר חדש</t>
  </si>
  <si>
    <t>קבלה</t>
  </si>
  <si>
    <t>זכרון יעקב</t>
  </si>
  <si>
    <t>זובר, יעקב ישראל</t>
  </si>
  <si>
    <t>זכרון צבי</t>
  </si>
  <si>
    <t>הורוויץ, צבי הלוי</t>
  </si>
  <si>
    <t>זמרת יהודה - 2 כרכים</t>
  </si>
  <si>
    <t>אביטן, חזן יהודה</t>
  </si>
  <si>
    <t>חבש פאר</t>
  </si>
  <si>
    <t>חומש עם ביאור כל אתין שבתורה - 2 כרכים</t>
  </si>
  <si>
    <t>חומש רמב"ן ע"פ אור לעינים - 7 כרכים</t>
  </si>
  <si>
    <t>משה בן נחמן (רמב"ן) - הלחמי, שמואל נחום</t>
  </si>
  <si>
    <t>חזון תורה וציון</t>
  </si>
  <si>
    <t>פדרבוש, שמעון בן צבי הרש</t>
  </si>
  <si>
    <t>חזקוני &lt;מוה"ק&gt;</t>
  </si>
  <si>
    <t>חזקיה בן מנוח</t>
  </si>
  <si>
    <t>תשמ"א</t>
  </si>
  <si>
    <t>חיבור התשובה &lt;מוסד הרב קוק&gt;</t>
  </si>
  <si>
    <t>חיבור יפה מהישועה</t>
  </si>
  <si>
    <t>נסים בן יעקב מקירואן</t>
  </si>
  <si>
    <t>תשי"ד</t>
  </si>
  <si>
    <t>חידושי הגר"מ והגרי"ד</t>
  </si>
  <si>
    <t>סולובייצ'יק, יוסף דוב בן משה הלוי - סולובייצ'יק, משה בן חיים</t>
  </si>
  <si>
    <t>חידושי המאירי על מסכת  עירובין - 3 כרכים</t>
  </si>
  <si>
    <t>מאירי, מנחם בן שלמה - ברוידא, שמחה זיסל בן חזקיהו אברהם</t>
  </si>
  <si>
    <t>חידושי הר"ן &lt;מוה"ק&gt;  - 11 כרכים</t>
  </si>
  <si>
    <t>נסים בן ראובן גירונדי (ר"ן)</t>
  </si>
  <si>
    <t>חידושי הריטב"א &lt;מוה"ק&gt;  - 26 כרכים</t>
  </si>
  <si>
    <t>יום טוב בן אברהם אשבילי (ריטב"א)</t>
  </si>
  <si>
    <t>חידושי הריצ"ד - 4 כרכים</t>
  </si>
  <si>
    <t>דינר, יוסף צבי הלוי</t>
  </si>
  <si>
    <t>משנה, שאר ספרי חז''ל</t>
  </si>
  <si>
    <t>חידושי הרמב"ן &lt;מוה"ק&gt; - 2 כרכים</t>
  </si>
  <si>
    <t>משה בן נחמן (רמב"ן)</t>
  </si>
  <si>
    <t>חידושי הרשב"א &lt;מוה"ק&gt;   - 21 כרכים</t>
  </si>
  <si>
    <t>בן אדרת, שלמה בן אברהם (רשב"א)</t>
  </si>
  <si>
    <t>חידושי וביאורי הגר"א על הש"ס - 6 כרכים</t>
  </si>
  <si>
    <t>חכמת בצלאל פתחי נדה</t>
  </si>
  <si>
    <t>רנשבורג, בצלאל בן יואל</t>
  </si>
  <si>
    <t>חמשה חומשי תורה עם פירוש אור החיים &lt;מוה"ק&gt;  - 6 כרכים</t>
  </si>
  <si>
    <t>בן עטר, חיים בן משה</t>
  </si>
  <si>
    <t>חקרי הלכה</t>
  </si>
  <si>
    <t>וויין, דוב בערל</t>
  </si>
  <si>
    <t>חקרי זמנים - 2 כרכים</t>
  </si>
  <si>
    <t>הילביץ, אלתר</t>
  </si>
  <si>
    <t>חקרי מקרא</t>
  </si>
  <si>
    <t>זיידל, משה</t>
  </si>
  <si>
    <t>חשבון הנפש &lt;מהדורת מוסד הרב קוק&gt;</t>
  </si>
  <si>
    <t>לפין, מנחם מנדל בן יהודה ליב</t>
  </si>
  <si>
    <t>יד אליהו - 6 כרכים</t>
  </si>
  <si>
    <t>שולזינגר, אליהו</t>
  </si>
  <si>
    <t>יהדות איראן וספרות רבנית</t>
  </si>
  <si>
    <t>צדיק, דניאל</t>
  </si>
  <si>
    <t>יהדות ברוסיה הסוביטית</t>
  </si>
  <si>
    <t>גרשוני, אהרן אליהו בן ישראל גרשון</t>
  </si>
  <si>
    <t>יהדות ליטא</t>
  </si>
  <si>
    <t>ליטא. יהדות ליטא</t>
  </si>
  <si>
    <t>יהודה וירושלם</t>
  </si>
  <si>
    <t>עתונו של ר' יואל משה סלומון</t>
  </si>
  <si>
    <t>תשט"ו</t>
  </si>
  <si>
    <t>יהושע שופטים עם פירוש רש"י</t>
  </si>
  <si>
    <t>קצנלנבוגן, מרדכי ליב (עריכה והערות) - שלמה בן יצחק (רש"י)</t>
  </si>
  <si>
    <t>תשמ"ז</t>
  </si>
  <si>
    <t>יודע העתים</t>
  </si>
  <si>
    <t>בת יהודה, גאולה</t>
  </si>
  <si>
    <t>יחוסי תנאים ואמוראים &lt;מהדורת מימון&gt;</t>
  </si>
  <si>
    <t>יהודה בן קלונימוס משפירא</t>
  </si>
  <si>
    <t>ילקוט שמעוני &lt;מוה"ק&gt;  - 11 כרכים</t>
  </si>
  <si>
    <t>שמעון הדרשן מפראנקפורט</t>
  </si>
  <si>
    <t>יסוד דקדוק הוא שפת יתר</t>
  </si>
  <si>
    <t>יסוד המשנה ועריכתה</t>
  </si>
  <si>
    <t>תש"ן</t>
  </si>
  <si>
    <t>משנה, נושאים שונים</t>
  </si>
  <si>
    <t>יסוד מורא וסוד תורה &lt;מהדורת מוה"ק&gt;</t>
  </si>
  <si>
    <t>הלכה ומנהג, מחשבה ומוסר, נושאים שונים</t>
  </si>
  <si>
    <t>יקר תפארת</t>
  </si>
  <si>
    <t>בן זמרא, דוד בן שלמה אבי (רדב"ז)</t>
  </si>
  <si>
    <t>ירושלים עיר הקודש והמקדש</t>
  </si>
  <si>
    <t>יריעות שלמה &lt;מוה"ק&gt;</t>
  </si>
  <si>
    <t>פאפנהיים, שלמה בן זליגמאן</t>
  </si>
  <si>
    <t>כדת משה וישראל</t>
  </si>
  <si>
    <t>כ"ץ, איתיאל</t>
  </si>
  <si>
    <t>כללי התלמוד בדברי הרמב"ן</t>
  </si>
  <si>
    <t>כפתור ופרח &lt;פרחי ציון&gt; מוסד הרב קוק</t>
  </si>
  <si>
    <t>אשתורי בן משה הפרחי</t>
  </si>
  <si>
    <t>כרם רידב"ז</t>
  </si>
  <si>
    <t>וילובסקי, יעקב דוד</t>
  </si>
  <si>
    <t>תשנ"ה</t>
  </si>
  <si>
    <t>כתבי רבי עובדיה ספורנו</t>
  </si>
  <si>
    <t>משנה, נושאים שונים, שאלות ותשובות, תנ''ך</t>
  </si>
  <si>
    <t>כתבי רבינו בחיי - כד הקמח, שלחן של ארבע, פרקי אבות</t>
  </si>
  <si>
    <t>בחיי בן אשר אבן חלאוה</t>
  </si>
  <si>
    <t>הלכה ומנהג, מחשבה ומוסר, משנה</t>
  </si>
  <si>
    <t>כתבי רבינו משה בן נחמן (רמב"ן) א &lt;מוה"ק&gt; - 2 כרכים</t>
  </si>
  <si>
    <t>דרושים, מחשבה ומוסר, תנ''ך, תפלות בקשות פיוטים ושירה</t>
  </si>
  <si>
    <t>כתבים רפואיים - 4 כרכים</t>
  </si>
  <si>
    <t>ת"ש - תש"ב</t>
  </si>
  <si>
    <t>כתר ארם צובה והנוסח המקובל של המקרא</t>
  </si>
  <si>
    <t>ברויאר, מרדכי</t>
  </si>
  <si>
    <t>לאור ההלכה</t>
  </si>
  <si>
    <t>זווין, שלמה יוסף בן אהרן מרדכי</t>
  </si>
  <si>
    <t>לב שלמה</t>
  </si>
  <si>
    <t>שלמה בן משה מחלמא</t>
  </si>
  <si>
    <t>לדרך טעמי המצות</t>
  </si>
  <si>
    <t>לוח לששת אלפים שנה</t>
  </si>
  <si>
    <t>עקביא, אברהם אריה</t>
  </si>
  <si>
    <t>ליקוטי אבידה</t>
  </si>
  <si>
    <t>שרייבר, יום טוב ישראל פישל</t>
  </si>
  <si>
    <t>לכבוד יום טוב</t>
  </si>
  <si>
    <t>תשט"ז</t>
  </si>
  <si>
    <t>נושאים שונים, קבצים וכתבי עת, ספרי זכרון ויובל</t>
  </si>
  <si>
    <t>ללשונות הרמב"ם - א</t>
  </si>
  <si>
    <t>הילביץ, אלתר בן מנחם הלוי</t>
  </si>
  <si>
    <t>לקט ראשונים על מסכת סוטה</t>
  </si>
  <si>
    <t>ליפשיץ, יעקב הלוי (עריכה והערות) - קובץ ראשונים</t>
  </si>
  <si>
    <t>לשון למודים</t>
  </si>
  <si>
    <t>לוצאטו, משה חיים בן יעקב חי (רמח"ל)</t>
  </si>
  <si>
    <t>לתולדות הקהילות בפולין</t>
  </si>
  <si>
    <t>מאורות הגר"א</t>
  </si>
  <si>
    <t>הלכה ומנהג, נושאים שונים, תלמוד בבלי</t>
  </si>
  <si>
    <t>מאמרי טוביה - 6 כרכים</t>
  </si>
  <si>
    <t>פרשל, טוביה</t>
  </si>
  <si>
    <t>מבחר הפיוט והשירה של ימי הבינים</t>
  </si>
  <si>
    <t>מבחר הפיוט והשירה</t>
  </si>
  <si>
    <t>מבחר כתבי ישראל דב פרומקין</t>
  </si>
  <si>
    <t>פרומקין, ישראל דוב בן אלכסנדר סנדר</t>
  </si>
  <si>
    <t>מבחר כתבים</t>
  </si>
  <si>
    <t>שטראשון, מתתיהו בן שמואל</t>
  </si>
  <si>
    <t>מבטאי שפתנו</t>
  </si>
  <si>
    <t>גומפרץ, יחיאל גדליהו בן אלחנן</t>
  </si>
  <si>
    <t>תשי"ג</t>
  </si>
  <si>
    <t>מגילת אסתר &lt;עקדת יצחק, מחיר יין&gt;</t>
  </si>
  <si>
    <t>עראמה, יצחק בן משה - אבידור, יובל - איסרלש, משה בן ישראל (רמ"א)</t>
  </si>
  <si>
    <t>מגילת אסתר &lt;מחיר יין&gt;</t>
  </si>
  <si>
    <t>איסרלש, משה בן ישראל (רמ"א) - אבידור, יובל</t>
  </si>
  <si>
    <t>מגילת אסתר &lt;מדה כנגד מדה&gt; - 2 כרכים</t>
  </si>
  <si>
    <t>מגילת רות &lt;החסד והטוב&gt;</t>
  </si>
  <si>
    <t>מונק, יחיאל אריה בן משה אליהו הכהן</t>
  </si>
  <si>
    <t>מדה כנגד מדה - 3 כרכים</t>
  </si>
  <si>
    <t>מחשבה ומוסר, תנ''ך</t>
  </si>
  <si>
    <t>מדין לרחמים</t>
  </si>
  <si>
    <t>שפירא, מלכה</t>
  </si>
  <si>
    <t>חסידות, נושאים שונים, תולדות עם ישראל</t>
  </si>
  <si>
    <t>מדרש בראשית זוטא</t>
  </si>
  <si>
    <t>מסנות, שמואל בן נסים</t>
  </si>
  <si>
    <t>שאר ספרי חז''ל, תולדות עם ישראל, תנ''ך</t>
  </si>
  <si>
    <t>מדרש הגדול &lt;מוה"ק&gt;  - 10 כרכים</t>
  </si>
  <si>
    <t>מדרש הגדול. מוסד הרב קוק.</t>
  </si>
  <si>
    <t>תשנ"ז</t>
  </si>
  <si>
    <t>שאר ספרי חז''ל, תנ''ך</t>
  </si>
  <si>
    <t>מדרש החפץ - 2 כרכים</t>
  </si>
  <si>
    <t>זכריה בן שלמה, הרופא (אלטביב, יחיא בן סלימאן)</t>
  </si>
  <si>
    <t>תשנ"א</t>
  </si>
  <si>
    <t>מדרש רבי דוד הנגיד - 2 כרכים</t>
  </si>
  <si>
    <t>דוד בן אברהם הנגיד</t>
  </si>
  <si>
    <t>תשכ"ד</t>
  </si>
  <si>
    <t>מדרש תנאים לבראשית</t>
  </si>
  <si>
    <t>מירסקי, אהרן בן יהושע יצחק (מלקט)</t>
  </si>
  <si>
    <t>תשס"א</t>
  </si>
  <si>
    <t>מהר"ץ חיות</t>
  </si>
  <si>
    <t>הרשקוביץ, מאיר</t>
  </si>
  <si>
    <t>מוסר המקרא והתלמוד</t>
  </si>
  <si>
    <t>פינס, שלמה זלמן בן דוב</t>
  </si>
  <si>
    <t>תש"ח</t>
  </si>
  <si>
    <t>מועדי קדשך</t>
  </si>
  <si>
    <t>מורה הנבוכים &lt;מוה"ק&gt;</t>
  </si>
  <si>
    <t>מורה הנבוכים &lt;מקור ותרגום&gt;  - 3 כרכים</t>
  </si>
  <si>
    <t>מורה נבוכים &lt;מוה"ק&gt;  - 4 כרכים</t>
  </si>
  <si>
    <t>מורה נבוכים לרמב"ם על התורה</t>
  </si>
  <si>
    <t>משה בן מימון (רמב"ם) - מקובר, דוד</t>
  </si>
  <si>
    <t>מורה נבוכים על התורה (באנגלית)</t>
  </si>
  <si>
    <t>מורשת משה</t>
  </si>
  <si>
    <t>רוזנפלד, חיים מאיר אהרן הלוי</t>
  </si>
  <si>
    <t>מחזור שיח בשדה - 2 כרכים</t>
  </si>
  <si>
    <t>מובשוביץ, ישראל בן שמואל דוד</t>
  </si>
  <si>
    <t>מחקרים בדרכי התלמוד וחידותיו - עוללות</t>
  </si>
  <si>
    <t>נושאים שונים, תולדות עם ישראל, תלמוד בבלי</t>
  </si>
  <si>
    <t>מחקרים בספרות התשובות</t>
  </si>
  <si>
    <t>כהנא, יצחק זאב</t>
  </si>
  <si>
    <t>מחקרים בתולדות היהודים בארץ ישראל ובארצות המזרח</t>
  </si>
  <si>
    <t>תמר, דוד</t>
  </si>
  <si>
    <t>מי באר - מסכת שבועות</t>
  </si>
  <si>
    <t>יעקבזון, חיים מנחם בן ישראל</t>
  </si>
  <si>
    <t>מכלול המאמרים והפתגמים - 2 כרכים</t>
  </si>
  <si>
    <t>סבר, משה</t>
  </si>
  <si>
    <t>מלאכי עליון</t>
  </si>
  <si>
    <t>נושאים שונים, קבלה</t>
  </si>
  <si>
    <t>מלות ההגיון</t>
  </si>
  <si>
    <t>מלחמות השם</t>
  </si>
  <si>
    <t>אברהם בן משה בן מימון</t>
  </si>
  <si>
    <t>ממך אליך אברח</t>
  </si>
  <si>
    <t>בן-נון, אברהם</t>
  </si>
  <si>
    <t>ממשנתם של חכמי פראג - 2 כרכים</t>
  </si>
  <si>
    <t>ממשנתם של חכמי פראג</t>
  </si>
  <si>
    <t>מן המצר קראתי</t>
  </si>
  <si>
    <t>פראגר, משה בן שמואל יחזקאל</t>
  </si>
  <si>
    <t>מנהגי ארץ ישראל</t>
  </si>
  <si>
    <t>גליס, יעקב</t>
  </si>
  <si>
    <t>מנורת המאור &lt;מוה"ק&gt;</t>
  </si>
  <si>
    <t>אבוהב, יצחק בן אברהם (הראשון)</t>
  </si>
  <si>
    <t>מנחת יהודה - א (בראשית)</t>
  </si>
  <si>
    <t>יהודה בן אלעזר (מבעלי התוספות)</t>
  </si>
  <si>
    <t>מנחת פתים &lt;מוה"ק&gt;  - 2 כרכים</t>
  </si>
  <si>
    <t>ארנטרוי, חנוך בן יונה הכהן</t>
  </si>
  <si>
    <t>מסות ומסעות</t>
  </si>
  <si>
    <t>ליהמן, מנשה רפאל בן חיים</t>
  </si>
  <si>
    <t>תשמ"ב</t>
  </si>
  <si>
    <t>מסילת ישרים עם ביאורים ישרים</t>
  </si>
  <si>
    <t>לוצאטו, משה חיים בן יעקב חי (רמח"ל) - מקובר, דוד</t>
  </si>
  <si>
    <t>מסילת ישרים עם פירוש מסילות יהודה</t>
  </si>
  <si>
    <t>לוצאטו, משה חיים בן יעקב חי (רמח"ל) - הלחמי, שמואל נחום</t>
  </si>
  <si>
    <t>מסכת אבות עם פירוש רש"ר הירש</t>
  </si>
  <si>
    <t>משנה</t>
  </si>
  <si>
    <t>מערכות האמוראים - 3 כרכים</t>
  </si>
  <si>
    <t>קאנוביץ, ישראל</t>
  </si>
  <si>
    <t>מערכות תנאים - 12 כרכים</t>
  </si>
  <si>
    <t>מערכי לב</t>
  </si>
  <si>
    <t>לב, זאב בן נחום הלוי</t>
  </si>
  <si>
    <t>מעשה הבא בעבירה</t>
  </si>
  <si>
    <t>שוחטמן, אליאב</t>
  </si>
  <si>
    <t>מעשה רב &lt;מוה"ק&gt;</t>
  </si>
  <si>
    <t>יששכר דוב בר בן תנחום - מובשוביץ, יוסף אליהו הלוי</t>
  </si>
  <si>
    <t>מפי בעלי לשונות</t>
  </si>
  <si>
    <t>אברמסון, שרגא</t>
  </si>
  <si>
    <t>מפירושי רב סעדיה למקרא</t>
  </si>
  <si>
    <t>סעדיה בן יוסף גאון</t>
  </si>
  <si>
    <t>מפניני הרמב"ם - 2 כרכים</t>
  </si>
  <si>
    <t>מונזון, מנחם מנדל (עורך)</t>
  </si>
  <si>
    <t>מפניני הרמב"ם &lt;באנגלית&gt;  - 2 כרכים</t>
  </si>
  <si>
    <t>מצבות קודש בארץ ישראל</t>
  </si>
  <si>
    <t>ווילנאי, זאב בן אברהם</t>
  </si>
  <si>
    <t>מצות ראיה</t>
  </si>
  <si>
    <t>הלכה ומנהג, שלחן ערוך ומפרשיו</t>
  </si>
  <si>
    <t>מצמיח קרן ישועה</t>
  </si>
  <si>
    <t>הופמן, דוד צבי בן נתן נפתלי</t>
  </si>
  <si>
    <t>מקורות ילקוט שמעוני - 2 כרכים</t>
  </si>
  <si>
    <t>הימן, דוב</t>
  </si>
  <si>
    <t>נושאים שונים, שאר ספרי חז''ל</t>
  </si>
  <si>
    <t>מרגליות הים</t>
  </si>
  <si>
    <t>מרכבת המשנה על התורה</t>
  </si>
  <si>
    <t>משא עובדיה</t>
  </si>
  <si>
    <t>יוסף, עובדיה בן יעקב</t>
  </si>
  <si>
    <t>משברי ים</t>
  </si>
  <si>
    <t>לייטר, משה</t>
  </si>
  <si>
    <t>משיב נפש - 2 כרכים</t>
  </si>
  <si>
    <t>סילברמן, אליאב הכהן</t>
  </si>
  <si>
    <t>תשפ"ד</t>
  </si>
  <si>
    <t>משיב נפש על מגילת רות</t>
  </si>
  <si>
    <t>סירקיש, יואל בן שמואל</t>
  </si>
  <si>
    <t>משכן שילה</t>
  </si>
  <si>
    <t>רפאל, שילה בן יצחק</t>
  </si>
  <si>
    <t>משלי הקדמונים על פרשיות התורה</t>
  </si>
  <si>
    <t>קינדרמן, אהרן (עורך)</t>
  </si>
  <si>
    <t>משלי עם פירוש הרב המאירי</t>
  </si>
  <si>
    <t>משלי עם פירוש רבינו יונה</t>
  </si>
  <si>
    <t>גירונדי, יונה בן אברהם</t>
  </si>
  <si>
    <t>משנה עם פירוש הרמב"ם &lt;ר"י קאפח&gt;  - 6 כרכים</t>
  </si>
  <si>
    <t>משנה עם פירוש הרמב"ם &lt;עם המקור בערבית&gt;  - 7 כרכים</t>
  </si>
  <si>
    <t>משנה תורה &lt;צילום דפוס רומי ר"מ&gt;</t>
  </si>
  <si>
    <t>משנה תורה &lt;רמב"ם לעם&gt;  - 20 כרכים</t>
  </si>
  <si>
    <t>משנת אליעזר</t>
  </si>
  <si>
    <t>רבינוביץ, אליעזר</t>
  </si>
  <si>
    <t>משנת הלוי</t>
  </si>
  <si>
    <t>הורוויץ, יצחק בן יעקב יוקל הלוי</t>
  </si>
  <si>
    <t>נושאים שונים, שאלות ותשובות, שאר ספרי חז''ל, תלמוד בבלי, תנ''ך</t>
  </si>
  <si>
    <t>משנת השר</t>
  </si>
  <si>
    <t>יעקובוביץ, ישראל</t>
  </si>
  <si>
    <t>נושאים שונים, שאלות ותשובות</t>
  </si>
  <si>
    <t>משנת יעקב - בעי חיי, ברכת יעקב, נר ערוך</t>
  </si>
  <si>
    <t>שור, יעקב בן אלישע יצחק</t>
  </si>
  <si>
    <t>תש"נ</t>
  </si>
  <si>
    <t>משנת ראובן &lt;פירושי הראשונים על  מסכת אבות&gt;  - 2 כרכים</t>
  </si>
  <si>
    <t>קצנלנבוגן, מרדכי ליב (עורך) - קובץ ראשונים</t>
  </si>
  <si>
    <t>משפט כהן</t>
  </si>
  <si>
    <t>משפטי עזיאל - אה"ע תנינא</t>
  </si>
  <si>
    <t>עוזיאל, בן ציון מאיר חי בן יוסף רפאל</t>
  </si>
  <si>
    <t>נ"ך לאור ההלכה - 2 כרכים</t>
  </si>
  <si>
    <t>לוי, ישראל</t>
  </si>
  <si>
    <t>נביאים וכתובים עם פירוש אור החיים הערוך והמבואר</t>
  </si>
  <si>
    <t>תש"ע</t>
  </si>
  <si>
    <t>נועם אלימלך - 2 כרכים</t>
  </si>
  <si>
    <t>ווייסבלום, אלימלך בן אליעזר ליפמאן</t>
  </si>
  <si>
    <t>נושאי הש"ס</t>
  </si>
  <si>
    <t>ליברמן, יהושע</t>
  </si>
  <si>
    <t>נחליאל &lt;מהדורה חדשה&gt;</t>
  </si>
  <si>
    <t>ברויאר, יצחק בן שלמה זלמן</t>
  </si>
  <si>
    <t>נחליאל</t>
  </si>
  <si>
    <t>נימוקי חומש לרבינו ישעיה</t>
  </si>
  <si>
    <t>טראני, ישעיה בן מאלי (רי"ד)</t>
  </si>
  <si>
    <t>ניצוצי אור</t>
  </si>
  <si>
    <t>משנה, שאר ספרי חז''ל, תלמוד בבלי</t>
  </si>
  <si>
    <t>נר אהרן - 2 כרכים</t>
  </si>
  <si>
    <t>פרנקל, ירחמיאל</t>
  </si>
  <si>
    <t>נר למאור</t>
  </si>
  <si>
    <t>סדר אליהו</t>
  </si>
  <si>
    <t>רבינוביץ תאומים, אליהו דוד בן בנימין (האדר"ת)</t>
  </si>
  <si>
    <t>סדר הסליחות כמנהג ליטא</t>
  </si>
  <si>
    <t>גולדשמידט, דניאל בן שלמה</t>
  </si>
  <si>
    <t>סדר הסליחות כמנהג פולין</t>
  </si>
  <si>
    <t>סדר הקינות לתשעה באב &lt;מבואר&gt;</t>
  </si>
  <si>
    <t>גולדשמידט, דניאל בן שלמה (ביאור)</t>
  </si>
  <si>
    <t>מועדי ישראל, תפלות בקשות פיוטים ושירה</t>
  </si>
  <si>
    <t>סדר רב עמרם גאון &lt;מוה"ק&gt;</t>
  </si>
  <si>
    <t>עמרם בן ששנא גאון</t>
  </si>
  <si>
    <t>הלכה ומנהג, תפלות בקשות פיוטים ושירה</t>
  </si>
  <si>
    <t>סדר תפלה &lt;עולת ראיה&gt; - ב (לשבתות ומועדים)</t>
  </si>
  <si>
    <t>תפילות. סידור. תרצ"ט. ירושלים</t>
  </si>
  <si>
    <t>סידור הגר"א &lt;מוסד הרב קוק&gt;</t>
  </si>
  <si>
    <t>סידור תפילה צלותא דאברהם</t>
  </si>
  <si>
    <t>לאנדא, אברהם בן רפאל</t>
  </si>
  <si>
    <t>סידור תפילות ישראל עם פירוש הרש"ר הירש</t>
  </si>
  <si>
    <t>תשנ"ב</t>
  </si>
  <si>
    <t>סידור תפילת אליהו</t>
  </si>
  <si>
    <t>סיני | קלה-קלו (קובץ הרמב"ם)</t>
  </si>
  <si>
    <t>מוסד הרב קוק</t>
  </si>
  <si>
    <t>הלכה ומנהג, מחשבה ומוסר</t>
  </si>
  <si>
    <t>סיפורי חסידים בדרשות לפרשת השבוע</t>
  </si>
  <si>
    <t>חסידות, תנ''ך</t>
  </si>
  <si>
    <t>סיפורי מעשיות משנים קדמוניות</t>
  </si>
  <si>
    <t>נחמן בן שמחה מברסלב - יערי, יהודה בן חיים יוסף</t>
  </si>
  <si>
    <t>חסידות, נושאים שונים</t>
  </si>
  <si>
    <t>סליחות ופזמונים &lt;רבינו גרשום מאור הגולה&gt;</t>
  </si>
  <si>
    <t>גרשום בן יהודה (מאור הגולה)</t>
  </si>
  <si>
    <t>ספר איוב עם פירושי אבן עזרא</t>
  </si>
  <si>
    <t>ספר דניאל עם פירושי אבן עזרא</t>
  </si>
  <si>
    <t>ספר הבהיר</t>
  </si>
  <si>
    <t>תשי"א</t>
  </si>
  <si>
    <t>ספר הג"ן - פירוש לחמישה חומשי תורה</t>
  </si>
  <si>
    <t>אהרן בן רבי יוסף הכהן (מבעלי התוספות)</t>
  </si>
  <si>
    <t>ספר הגר"א - 2 כרכים</t>
  </si>
  <si>
    <t>הלכה ומנהג, מחשבה ומוסר, משנה, נושאים שונים, קבצים וכתבי עת, ספרי זכרון ויובל, תולדות עם ישראל, תנ''ך</t>
  </si>
  <si>
    <t>ספר הזהר &lt;ניצוצי זהר&gt;  - 3 כרכים</t>
  </si>
  <si>
    <t>זוהר. ת"ש. ירושלים</t>
  </si>
  <si>
    <t>ת"ש - תש"ו</t>
  </si>
  <si>
    <t>קבלה, תנ''ך</t>
  </si>
  <si>
    <t>ספר החזיונות</t>
  </si>
  <si>
    <t>וויטאל, חיים בן יוסף</t>
  </si>
  <si>
    <t>ספר החיד"א</t>
  </si>
  <si>
    <t>אזולאי, חיים יוסף דוד (חיד"א)</t>
  </si>
  <si>
    <t>ספר החינוך &lt;מוה"ק&gt;</t>
  </si>
  <si>
    <t>אהרן הלוי, מברצלונה (מיוחס לו)</t>
  </si>
  <si>
    <t>ספר המדע לרמב"ם</t>
  </si>
  <si>
    <t>משה בן מימון (רמב"ם) - כהן, יעקב - קצנלבוגן, משה חיים</t>
  </si>
  <si>
    <t>ספר המליצה</t>
  </si>
  <si>
    <t>ספר המנהיג &lt;מוה"ק&gt;  - 2 כרכים</t>
  </si>
  <si>
    <t>אברהם בן נתן הירחי</t>
  </si>
  <si>
    <t>ספר המנוחה</t>
  </si>
  <si>
    <t>מנוח בן יעקב מנארבונה</t>
  </si>
  <si>
    <t>ספר המצות &lt;הערות ר' חיים העליר&gt;</t>
  </si>
  <si>
    <t>ספר המצות להרמב"ם עם השגות הרמב"ן &lt;מוה"ק&gt;</t>
  </si>
  <si>
    <t>שעוועל, חיים דוב</t>
  </si>
  <si>
    <t>ספר המצות לרמב"ם &lt;מקור ותרגום&gt;</t>
  </si>
  <si>
    <t>משה בן מימון (רמב"ם) - קאפח, יוסף בן דוד</t>
  </si>
  <si>
    <t>ספר העגונות</t>
  </si>
  <si>
    <t>כהנא, יצחק זאב בן משה</t>
  </si>
  <si>
    <t>ספר העיקרים ביאורים בעיקרי ההלכות - 2 כרכים</t>
  </si>
  <si>
    <t>איגר, שלמה בן עקיבא</t>
  </si>
  <si>
    <t>ספר השמיטה</t>
  </si>
  <si>
    <t>טוקאצינסקי, יחיאל מיכל בן אהרן</t>
  </si>
  <si>
    <t>ספר התשובה &lt;בארי בשדה&gt; - 2 כרכים</t>
  </si>
  <si>
    <t>כהן, יוסף בן שמואל דוד</t>
  </si>
  <si>
    <t>ספר זכרון להגאון רבי שילה רפאל זצ"ל</t>
  </si>
  <si>
    <t>מובשוביץ, יוסף אליהו הלוי</t>
  </si>
  <si>
    <t>ספר חסידים &lt;מקור חסד&gt;</t>
  </si>
  <si>
    <t>יהודה בן שמואל החסיד - מרגליות, ראובן</t>
  </si>
  <si>
    <t>ספר יצירה עם ביאור הגר"א &lt;המפורש&gt;</t>
  </si>
  <si>
    <t>ספר מאזנים</t>
  </si>
  <si>
    <t>ספר משלי בדברי חז"ל עם ביאור דברי יעקב</t>
  </si>
  <si>
    <t>שכטר, יעקב בן אברהם</t>
  </si>
  <si>
    <t>ספר צחות &lt;מהדורה חדשה&gt;</t>
  </si>
  <si>
    <t>ספר קהלת עם פירושי אבן עזרא</t>
  </si>
  <si>
    <t>גודמן, מרדכי שאול (ביאורים והערות) - אבן-עזרא, אברהם בן מאיר</t>
  </si>
  <si>
    <t>ספר רושיינא - 4 כרכים</t>
  </si>
  <si>
    <t>שמואל מרושיאה</t>
  </si>
  <si>
    <t>ספר רפאל</t>
  </si>
  <si>
    <t>ספר זכרון</t>
  </si>
  <si>
    <t>ספר תהלים עם פירוש רש"ר הירש</t>
  </si>
  <si>
    <t>ספרא דצניעותא עם ביאור הגר"א</t>
  </si>
  <si>
    <t>ספרא וסייפא</t>
  </si>
  <si>
    <t>רבינוביץ, נתן דוד</t>
  </si>
  <si>
    <t>ספרי עם פירוש תולדות אדם - 2 כרכים</t>
  </si>
  <si>
    <t>אשכנזי, משה דוד אברהם טרויש</t>
  </si>
  <si>
    <t>ספרים באנגלית - 8 כרכים</t>
  </si>
  <si>
    <t>חכם,עמוס</t>
  </si>
  <si>
    <t>עבודת המלך &lt;מוה"ק&gt;</t>
  </si>
  <si>
    <t>קראקובסקי, מנחם בן צבי הירש</t>
  </si>
  <si>
    <t>עבודת הנפש</t>
  </si>
  <si>
    <t>קרמר, ישי</t>
  </si>
  <si>
    <t>עבודת הקודש עם ביאור עבודת עבודה - 2 כרכים</t>
  </si>
  <si>
    <t>בן אדרת, שלמה בן אברהם (רשב"א) - צמבליסט, חיים גדליה</t>
  </si>
  <si>
    <t>עדות ביעקב - שו"ת</t>
  </si>
  <si>
    <t>ריינס, יצחק יעקב בן שלמה נפתלי</t>
  </si>
  <si>
    <t>עולם הקרבנות</t>
  </si>
  <si>
    <t>עולם התפילות - 2 כרכים</t>
  </si>
  <si>
    <t>מונק, אליהו</t>
  </si>
  <si>
    <t>עזרת כהן</t>
  </si>
  <si>
    <t>עיון וחקר</t>
  </si>
  <si>
    <t>אפנשטיין, שמעון בן שלמה</t>
  </si>
  <si>
    <t>עיון תפילה</t>
  </si>
  <si>
    <t>עיונים בביאור על התורה לרבינו בחיי בן אשר</t>
  </si>
  <si>
    <t>ליפשיץ, אברהם</t>
  </si>
  <si>
    <t>עיונים בדברי חז"ל ובלשונם</t>
  </si>
  <si>
    <t>עיונים בכתביהם של בעלי המוסר</t>
  </si>
  <si>
    <t>עיונים במסכתות התלמוד - 2 כרכים</t>
  </si>
  <si>
    <t>עיונים במשנה תורה להרמב"ם</t>
  </si>
  <si>
    <t>פאור, יוסף הלוי</t>
  </si>
  <si>
    <t>עין הדעת</t>
  </si>
  <si>
    <t>פרבשטיין, משה מרדכי</t>
  </si>
  <si>
    <t>עיניך בשדה</t>
  </si>
  <si>
    <t>סורוצקין, יואל בן בן ציון</t>
  </si>
  <si>
    <t>על התפילה</t>
  </si>
  <si>
    <t>הופמן, דוד צבי בן משה יהודה</t>
  </si>
  <si>
    <t>על חסידות וחסידים</t>
  </si>
  <si>
    <t>רפאל, יצחק</t>
  </si>
  <si>
    <t>עלי אור - מו"ק, חול המועד, הלכות שמחות</t>
  </si>
  <si>
    <t>קוקיס, אוריאל בן מרדכי</t>
  </si>
  <si>
    <t>עניינות בספרות הגאונים</t>
  </si>
  <si>
    <t>תשל"ד</t>
  </si>
  <si>
    <t>עץ הדר</t>
  </si>
  <si>
    <t>עץ חיים - 3 כרכים</t>
  </si>
  <si>
    <t>חזן, יעקב</t>
  </si>
  <si>
    <t>ערוך השלחן העתיד - 8 כרכים</t>
  </si>
  <si>
    <t>אפשטיין, יחיאל מיכל בן אהרן יצחק הלוי</t>
  </si>
  <si>
    <t>פחד יצחק &lt;מוה"ק&gt;  - 5 כרכים</t>
  </si>
  <si>
    <t>לאמפרונטי, יצחק רפאל חזקיה בן שמואל</t>
  </si>
  <si>
    <t>פירוש המשנה למסכת שוטה &lt;מהדורת מוה"ק&gt;</t>
  </si>
  <si>
    <t>פירוש הר"ח מסכת בבא מציעא</t>
  </si>
  <si>
    <t>חננאל בן חושיאל</t>
  </si>
  <si>
    <t>פירוש התורה לרב שמואל בן חפני גאון</t>
  </si>
  <si>
    <t>שמואל בן חפני גאון</t>
  </si>
  <si>
    <t>פירוש לתהלים לרבנו יוסף חיון</t>
  </si>
  <si>
    <t>חיון, יוסף בן אברהם</t>
  </si>
  <si>
    <t>פירוש ספר יצירה אלמוני מיסודו של רבי אברהם אבולעפיא</t>
  </si>
  <si>
    <t>פירוש על הרי"ף</t>
  </si>
  <si>
    <t>חננאל בן שמואל</t>
  </si>
  <si>
    <t>פירוש רבי יוסף קרא לספר איוב</t>
  </si>
  <si>
    <t>קרא, יוסף בן שמעון</t>
  </si>
  <si>
    <t>פירוש רבינו חננאל - סוטה</t>
  </si>
  <si>
    <t>חננאל בן חושיאל - שעוועל, חיים דוב</t>
  </si>
  <si>
    <t>פירוש רבינו חננאל - 2 כרכים</t>
  </si>
  <si>
    <t>פירוש רבינו מיוחס - 2 כרכים</t>
  </si>
  <si>
    <t>מיוחס בן אליהו</t>
  </si>
  <si>
    <t>פירוש רשב"ם הקצר לפרק חזקת הבתים</t>
  </si>
  <si>
    <t>שמואל בן מאיר (רשב"ם)</t>
  </si>
  <si>
    <t>פירושי גאוני ליטא - 2 כרכים</t>
  </si>
  <si>
    <t>מובשוביץ, יוסף אליהו הלוי (עורך)</t>
  </si>
  <si>
    <t>פירושי הרב דוד צבי הופמן - 3 כרכים</t>
  </si>
  <si>
    <t>פירושי הרמב"ן לירושלמי - 6 כרכים</t>
  </si>
  <si>
    <t>פלורסהיים, יואל (עורך) - פלורסהיים, יואל - משה בן נחמן (רמב"ן)</t>
  </si>
  <si>
    <t>פירושי הרמב"ן על נביאים וכתובים</t>
  </si>
  <si>
    <t>משה בן נחמן (רמב"ן) - שעוועל, חיים דוב</t>
  </si>
  <si>
    <t>פירושי הרנב"י להלכות נדרים של הרמב"ן</t>
  </si>
  <si>
    <t>נתן בן יוסף</t>
  </si>
  <si>
    <t>פירושי התורה לרלב"ג - 5 כרכים</t>
  </si>
  <si>
    <t>לוי בן גרשון (רלב"ג)</t>
  </si>
  <si>
    <t>פירושי התורה לרמב"ן &lt;מוה"ק&gt;  - 2 כרכים</t>
  </si>
  <si>
    <t>פירושי וליקוטי הגר"א על הגדה של פסח</t>
  </si>
  <si>
    <t>פירושי רב סעדיה גאון לספר שמות</t>
  </si>
  <si>
    <t>סעדיה בן יוסף גאון - יהודה רצהבי</t>
  </si>
  <si>
    <t>פירושי רבי דוד קמחי (רד"ק) על התורה</t>
  </si>
  <si>
    <t>קמחי, דוד בן יוסף (רד"ק)</t>
  </si>
  <si>
    <t>פירושי רבי יוסף בכור שור על התורה</t>
  </si>
  <si>
    <t>יוסף בכור שור</t>
  </si>
  <si>
    <t>פירושי רבי יוסף קרא לנביאים ראשונים</t>
  </si>
  <si>
    <t>פירושי רבינו אליהו מלונדריש ופסקיו</t>
  </si>
  <si>
    <t>אליהו מנחם בן משה מלונדריש</t>
  </si>
  <si>
    <t>הלכה ומנהג, מועדי ישראל, משנה</t>
  </si>
  <si>
    <t>פירושי רבינו חננאל על התורה</t>
  </si>
  <si>
    <t>פירושי רבינו סעדיה גאון על התורה</t>
  </si>
  <si>
    <t>פירושי רלב"ג - 4 כרכים</t>
  </si>
  <si>
    <t>פירושי רש"י - מסכת נדרים</t>
  </si>
  <si>
    <t>שלמה בן יצחק (רש"י)</t>
  </si>
  <si>
    <t>פירושי רש"י על התורה</t>
  </si>
  <si>
    <t>שלמה בן יצחק (רש"י) - שעוועל, חיים דוב</t>
  </si>
  <si>
    <t>פירושי תלמידי הרשב"א על קבלת הרמב"ן</t>
  </si>
  <si>
    <t>תלמידי הרשב"א על קבלת הרמב"ן</t>
  </si>
  <si>
    <t>פנינים ומרגליות</t>
  </si>
  <si>
    <t>פנקס התקנות והרישומים</t>
  </si>
  <si>
    <t>אונא, אביגדור</t>
  </si>
  <si>
    <t>הלכה ומנהג, קבצים וכתבי עת, ספרי זכרון ויובל, תולדות עם ישראל</t>
  </si>
  <si>
    <t>פסקי הגר"א &lt;מכון פסקי הגר"א&gt; - שבת</t>
  </si>
  <si>
    <t>פסקי הלכות &lt;יד דוד&gt; - ג</t>
  </si>
  <si>
    <t>פרידמאן, דוד בן שמואל</t>
  </si>
  <si>
    <t>הלכה ומנהג, תולדות עם ישראל</t>
  </si>
  <si>
    <t>פסקי חלה לרשב"א עם ביאור קדושת לחם</t>
  </si>
  <si>
    <t>פסקי רבנו אליהו לסדר זרעים</t>
  </si>
  <si>
    <t>תש"א</t>
  </si>
  <si>
    <t>הלכה ומנהג, משנה</t>
  </si>
  <si>
    <t>פסקי תוספות על מסכת סוטה</t>
  </si>
  <si>
    <t>ליפשיץ, יעקב הלוי (עריכה והערות) - בעלי התוספות</t>
  </si>
  <si>
    <t>פסקים וכתבים - 9 כרכים</t>
  </si>
  <si>
    <t>הרצוג, יצחק אייזיק בן יואל ליב הלוי</t>
  </si>
  <si>
    <t>פרקים בתולדות היהודים בפולין</t>
  </si>
  <si>
    <t>כהנא, דוד</t>
  </si>
  <si>
    <t>תשמ"ג</t>
  </si>
  <si>
    <t>פרשת מרדכי</t>
  </si>
  <si>
    <t>צוהר לבראשית - 2 כרכים</t>
  </si>
  <si>
    <t>ציון לנפש חיה - שו"ת</t>
  </si>
  <si>
    <t>לייטר, נתן נטע</t>
  </si>
  <si>
    <t>ציוני דרך</t>
  </si>
  <si>
    <t>ברויאר, יצחק</t>
  </si>
  <si>
    <t>צפנת פענח &lt;על הרמב"ם&gt;  - 3 כרכים</t>
  </si>
  <si>
    <t>רוזין, יוסף בן אפרים פישל</t>
  </si>
  <si>
    <t>קברים קדושים בבבל</t>
  </si>
  <si>
    <t>בן יעקב, אברהם</t>
  </si>
  <si>
    <t>נושאים שונים, תולדות עם ישראל, תפלות בקשות פיוטים ושירה</t>
  </si>
  <si>
    <t>קדושת פשוטו של מקרא - 2 כרכים</t>
  </si>
  <si>
    <t>קופרמן יהודה</t>
  </si>
  <si>
    <t>קובץ מאמרים ומחקרים בתורה ובמדעי היהדות</t>
  </si>
  <si>
    <t>קול דוד תניינא</t>
  </si>
  <si>
    <t>וויינשטוק, דוד פתחיה בן גרשון</t>
  </si>
  <si>
    <t>דרושים, קבלה</t>
  </si>
  <si>
    <t>קול מבשר &lt;מוה"ק&gt;  - 2 כרכים</t>
  </si>
  <si>
    <t>ראטה, משולם בן שמעון</t>
  </si>
  <si>
    <t>קונטריס על ענין שבת החתונה</t>
  </si>
  <si>
    <t>סופינו, אליעזר בן יעקב</t>
  </si>
  <si>
    <t>קונטרס קידוש השם</t>
  </si>
  <si>
    <t>פרלמן, ירוחם יהודה ליב בן שלמה זלמן</t>
  </si>
  <si>
    <t>קיצור שלחן ערוך (מנוקד)</t>
  </si>
  <si>
    <t>גאנצפריד, שלמה בן יוסף</t>
  </si>
  <si>
    <t>קסת הסופר &lt;מוה"ק&gt; - א</t>
  </si>
  <si>
    <t>מארכוס, אהרן בן מאיר</t>
  </si>
  <si>
    <t>קראקא - ספר קראקא</t>
  </si>
  <si>
    <t>ספר קהילה</t>
  </si>
  <si>
    <t>קרן ישראל - חולין</t>
  </si>
  <si>
    <t xml:space="preserve">לרנר, ישראל </t>
  </si>
  <si>
    <t>קשת גבורים - 5 כרכים</t>
  </si>
  <si>
    <t>שורין, אהרן בן ציון</t>
  </si>
  <si>
    <t>ר' יצחק אייזיק מקאמרנא</t>
  </si>
  <si>
    <t>ברל, חיים יהודה</t>
  </si>
  <si>
    <t>ראש מילין &lt;מוה"ק&gt;</t>
  </si>
  <si>
    <t>ראשית הנזר</t>
  </si>
  <si>
    <t>ורשנר, נעם</t>
  </si>
  <si>
    <t>רבי אברהם יהושע השיל הרב מאפטא</t>
  </si>
  <si>
    <t>רבי ברוך הלוי אפשטיין</t>
  </si>
  <si>
    <t>תרשיש, א"ז</t>
  </si>
  <si>
    <t>רבי דוב בר מייזלש</t>
  </si>
  <si>
    <t>קמלהאר, משה</t>
  </si>
  <si>
    <t>רבי זרחיה הלוי בעל המאור ובני חוגו</t>
  </si>
  <si>
    <t>תא שמע, ישראל</t>
  </si>
  <si>
    <t>רבי חיים אבן עטר</t>
  </si>
  <si>
    <t>קלאר, מנחם בנימין בן שלמה</t>
  </si>
  <si>
    <t>רבי חיים ב"ר בצלאל מפרידברג</t>
  </si>
  <si>
    <t>זימר, אריק (יצחק)</t>
  </si>
  <si>
    <t>רבי יעקב ששפורטש</t>
  </si>
  <si>
    <t>מויאל, אלי</t>
  </si>
  <si>
    <t>רבי יצחק בר ששת</t>
  </si>
  <si>
    <t>הרשמאן, אברהם משה בן יהודה אליעזר</t>
  </si>
  <si>
    <t>רבי עקיבא יוסף שלזינגר</t>
  </si>
  <si>
    <t>שחראי, אלתר יעקב בן זאב יצחק</t>
  </si>
  <si>
    <t>תש"ב</t>
  </si>
  <si>
    <t>רבינו אפרים</t>
  </si>
  <si>
    <t>אפרים, מקלעה חמאד</t>
  </si>
  <si>
    <t>רבינו בחיי על התורה &lt;מוה"ק&gt;  - 3 כרכים</t>
  </si>
  <si>
    <t>רבנו משה בן נחמן - תולדות חייו, זמנו וחיבוריו</t>
  </si>
  <si>
    <t>רבנו עובדיה מברטנורא</t>
  </si>
  <si>
    <t>לרנר, ישראל דב</t>
  </si>
  <si>
    <t>רבני פרנקפורט</t>
  </si>
  <si>
    <t>הורוויץ, מרדכי הלוי</t>
  </si>
  <si>
    <t>רי"ף מסכת ברכות</t>
  </si>
  <si>
    <t>רינת האמונה</t>
  </si>
  <si>
    <t>רבינוביץ, אהרן</t>
  </si>
  <si>
    <t>שאילתות דרב אחאי גאון &lt;העמק שאלה&gt;  - 3 כרכים</t>
  </si>
  <si>
    <t>אחאי משבחא גאון - ברלין, נפתלי צבי יהודה</t>
  </si>
  <si>
    <t>תשנ"ט</t>
  </si>
  <si>
    <t>שבחי ארץ החיים &lt;מהדורה חדשה&gt;</t>
  </si>
  <si>
    <t>פינפר, פסח בן חיים הכהן</t>
  </si>
  <si>
    <t>שבט מיהודה</t>
  </si>
  <si>
    <t>אונטרמן, איסר יהודה בן אליהו</t>
  </si>
  <si>
    <t>שבילי ניסן</t>
  </si>
  <si>
    <t>וקסמן, ניסן</t>
  </si>
  <si>
    <t>שבעים פנים לתורה</t>
  </si>
  <si>
    <t>ענגיל, יוסף בן יהודה</t>
  </si>
  <si>
    <t>שבת הארץ</t>
  </si>
  <si>
    <t>שו"ת בית רידב"ז</t>
  </si>
  <si>
    <t>שו"ת הפרשה</t>
  </si>
  <si>
    <t>שיינפלד, יחזקאל</t>
  </si>
  <si>
    <t>שו"ת הריטב"א</t>
  </si>
  <si>
    <t>שו"ת מהר"ש מוהליבר</t>
  </si>
  <si>
    <t>מוהליבר, שמואל</t>
  </si>
  <si>
    <t>שו"ת מן השמים &lt;עם הערות הגר"ר מרגליות&gt;</t>
  </si>
  <si>
    <t>יעקב הלוי ממארוויש - מרגליות, ראובן</t>
  </si>
  <si>
    <t>תשי"ז</t>
  </si>
  <si>
    <t>שו"ת רבי שלמה איגר - 3 כרכים</t>
  </si>
  <si>
    <t>איגר, שלמה</t>
  </si>
  <si>
    <t>שו"ת רידב"ז</t>
  </si>
  <si>
    <t>שובה ישראל</t>
  </si>
  <si>
    <t>בישקוביץ, יהושע הכהן</t>
  </si>
  <si>
    <t>שיח שאול - לימים הנוראים</t>
  </si>
  <si>
    <t>שיטה מקובצת &lt;מוה"ק&gt;  - 17 כרכים</t>
  </si>
  <si>
    <t>אשכנזי, בצלאל בן אברהם</t>
  </si>
  <si>
    <t>שיעורי הגרי"ד - 3 כרכים</t>
  </si>
  <si>
    <t>סולובייצ'יק, יוסף דוב הלוי</t>
  </si>
  <si>
    <t>שיעורי ראשי ישיבות ליטא</t>
  </si>
  <si>
    <t>ראשי ישיבות ליטא (פורמן, אברהם -  (עורך)</t>
  </si>
  <si>
    <t>שיעורי רבי שמעון יהודה הכהן שקאפ - נשים, נזיקין</t>
  </si>
  <si>
    <t>שקופ, שמעון יהודה בן יצחק שמואל הכהן</t>
  </si>
  <si>
    <t>שיר השירים עם ביאור עוטה אור &lt;מהדורת מוה"ק&gt;</t>
  </si>
  <si>
    <t>שירי היחוד והכבוד</t>
  </si>
  <si>
    <t>האברמאן, אברהם מאיר בן אורי פייבל</t>
  </si>
  <si>
    <t>שירי המנחה</t>
  </si>
  <si>
    <t>משנה, שאלות ותשובות, תלמוד בבלי, תנ''ך</t>
  </si>
  <si>
    <t>שירים - דונש בן לבראט</t>
  </si>
  <si>
    <t>דונש בן לבראט הלוי</t>
  </si>
  <si>
    <t>תש"ז</t>
  </si>
  <si>
    <t>שלמות הקבלה והמסורה</t>
  </si>
  <si>
    <t>פכטר, אליהו ליב בן ישראל יצחק</t>
  </si>
  <si>
    <t>שלמי מנחם - הלכות שכנים ושכירות פועלים</t>
  </si>
  <si>
    <t>שימל, מנחם בן אברהם</t>
  </si>
  <si>
    <t>שלמי שמחה</t>
  </si>
  <si>
    <t>גוטל, נריה משה</t>
  </si>
  <si>
    <t>שם דרך - 2 כרכים</t>
  </si>
  <si>
    <t>ברוידא, שמחה זיסל בן חזקיהו אברהם</t>
  </si>
  <si>
    <t>שם משמעון</t>
  </si>
  <si>
    <t>סטרליץ, שמעון</t>
  </si>
  <si>
    <t>שם עולם</t>
  </si>
  <si>
    <t>שמואל עם פירוש רש"י &lt;מוה"ק&gt;</t>
  </si>
  <si>
    <t>קצנלנבוגן, מרדכי ליב (עורך) - שלמה בן יצחק (רש"י)</t>
  </si>
  <si>
    <t>שמונה פרקים לרמב"ם</t>
  </si>
  <si>
    <t>שמיטת כספים</t>
  </si>
  <si>
    <t>שמעתי מרבי - 2 כרכים</t>
  </si>
  <si>
    <t>ליטבסקי, אליעזר שלום</t>
  </si>
  <si>
    <t>שמש בענן</t>
  </si>
  <si>
    <t>גרנטשטין, יחיאל</t>
  </si>
  <si>
    <t>שעורים לזכר אבא מרי ז"ל - 2 כרכים</t>
  </si>
  <si>
    <t>סולובייצ'יק, יוסף דוב בן משה הלוי</t>
  </si>
  <si>
    <t>שערי בריאות הגוף והנפש לפי הרמב"ם</t>
  </si>
  <si>
    <t>רבפוגל, משה מאיר</t>
  </si>
  <si>
    <t>שערי הלכה - 2 כרכים</t>
  </si>
  <si>
    <t>חזות, יחיאל בן עמרם</t>
  </si>
  <si>
    <t>שערי זהר</t>
  </si>
  <si>
    <t>שערי שאול - 3 כרכים</t>
  </si>
  <si>
    <t>שערים בהלכה</t>
  </si>
  <si>
    <t>שליטא, משה</t>
  </si>
  <si>
    <t>שערים למערכת הקניינים</t>
  </si>
  <si>
    <t>שערים לשערי יושר</t>
  </si>
  <si>
    <t>שפה ברורה &lt;מהדורת מוה"ק&gt;</t>
  </si>
  <si>
    <t>שפתי דעת - 3 כרכים</t>
  </si>
  <si>
    <t>חסידות, מועדי ישראל</t>
  </si>
  <si>
    <t>שקל הקודש</t>
  </si>
  <si>
    <t>אלמולי, שלמה</t>
  </si>
  <si>
    <t>נושאים שונים, תפלות בקשות פיוטים ושירה</t>
  </si>
  <si>
    <t>שרגאי - ג</t>
  </si>
  <si>
    <t>כתב עת לחקר הציונות הדתית</t>
  </si>
  <si>
    <t>שרי המאה - 6 כרכים</t>
  </si>
  <si>
    <t>תש"ב - תשט"ז</t>
  </si>
  <si>
    <t>שרידים מפירוש הר"א על תענית</t>
  </si>
  <si>
    <t>אליקים בן משולם משפירא</t>
  </si>
  <si>
    <t>ששה חדשים באיטליה</t>
  </si>
  <si>
    <t>ברלינר, אברהם בן צבי הירש</t>
  </si>
  <si>
    <t>תבונה - א-ב</t>
  </si>
  <si>
    <t>קראסילשצ'יקוב, יצחק אייזיק בן דוב בר</t>
  </si>
  <si>
    <t>הלכה ומנהג, תלמוד ירושלמי</t>
  </si>
  <si>
    <t>תהלים &lt;באר אברהם&gt;</t>
  </si>
  <si>
    <t>תהלים &lt;רש"ר הירש&gt;</t>
  </si>
  <si>
    <t>תהלים עם הפירוש השלם לרד"ק</t>
  </si>
  <si>
    <t>תולדות הגר"א</t>
  </si>
  <si>
    <t>תולדות היהודים במצרים וסוריה - ג</t>
  </si>
  <si>
    <t>שטראוס-אשתור, אליהו בן אברהם ליב</t>
  </si>
  <si>
    <t>תוספות איוורא - סוטה</t>
  </si>
  <si>
    <t>יצחק בן שניאור מאיוורא</t>
  </si>
  <si>
    <t>תוספות הרא"ש &lt;מוה"ק&gt;  - 20 כרכים</t>
  </si>
  <si>
    <t>אשר בן יחיאל (רא"ש)</t>
  </si>
  <si>
    <t>תוספות רי"ד &lt;מוה"ק&gt;  - 12 כרכים</t>
  </si>
  <si>
    <t>תורה שבעל פה</t>
  </si>
  <si>
    <t>ענבל, יהושע</t>
  </si>
  <si>
    <t>תורות בית דינוב - 3 כרכים</t>
  </si>
  <si>
    <t>פיש, נפתלי צבי</t>
  </si>
  <si>
    <t>תורת אבן העזר</t>
  </si>
  <si>
    <t>קרלין, אריה בן ישראל אליעזר</t>
  </si>
  <si>
    <t>תורת אליהו - תנ"ך</t>
  </si>
  <si>
    <t>תורת האהל</t>
  </si>
  <si>
    <t>תורת הבית הארוך והקצר א &lt;מוה"ק&gt; - 3 כרכים</t>
  </si>
  <si>
    <t>תורת החטאת &lt;מוה"ק&gt;</t>
  </si>
  <si>
    <t>איסרלש, משה בן ישראל (רמ"א)</t>
  </si>
  <si>
    <t>תורת החסידות - 4 כרכים</t>
  </si>
  <si>
    <t>תורת הראשונים - 7 כרכים</t>
  </si>
  <si>
    <t>אריאלי, אביגדור (עורך) - קובץ ראשונים</t>
  </si>
  <si>
    <t>תורת חז"ל תורה מן השמים</t>
  </si>
  <si>
    <t>שימל, חיים</t>
  </si>
  <si>
    <t>תורת חיים - 4 כרכים</t>
  </si>
  <si>
    <t>פירושי הראשונים</t>
  </si>
  <si>
    <t>תורת חיים &lt;חמשה חומשי תורה&gt;  - 7 כרכים</t>
  </si>
  <si>
    <t>מקראות גדולות</t>
  </si>
  <si>
    <t>תורת חיים &lt;נ"ך&gt;  - 2 כרכים</t>
  </si>
  <si>
    <t>תורת חיים &lt;תהלים&gt;  - 3 כרכים</t>
  </si>
  <si>
    <t>תחוקה לישראל על פי התורה - 3 כרכים</t>
  </si>
  <si>
    <t>תנ"ך &lt;עפ"י כתר ארם צובא. מהדורת ברויאר&gt;</t>
  </si>
  <si>
    <t>ברויאר מרדכי (מגיה)</t>
  </si>
  <si>
    <t>קבצים וכתבי עת, ספרי זכרון ויובל, תנ''ך</t>
  </si>
  <si>
    <t>תנ"ך עם פירוש דעת מקרא &lt;באנגלית&gt; - משלי</t>
  </si>
  <si>
    <t>פירוש דעת מקרא</t>
  </si>
  <si>
    <t>תניא רבתי &lt;מהדורת מוסד הרב קוק&gt;</t>
  </si>
  <si>
    <t>עניו, יחיאל בן יקותיאל</t>
  </si>
  <si>
    <t>תפלה לעני</t>
  </si>
  <si>
    <t>שפירא, משה מנחם הכהן</t>
  </si>
  <si>
    <t>תקון מדות הנפש</t>
  </si>
  <si>
    <t>אבן גבירול, שלמה בן יהודה</t>
  </si>
  <si>
    <t>תקוני הזהר עם ניצוצי זהר</t>
  </si>
  <si>
    <t>תקופת הגאונים וספרותה</t>
  </si>
  <si>
    <t>אסף, שמחה בן יהודה זאב</t>
  </si>
  <si>
    <t>תשובות הגאונים גרש ירחים - 2 כרכים</t>
  </si>
  <si>
    <t>תשובות הגאונים</t>
  </si>
  <si>
    <t>תשובות הרשב"א &lt;מוה"ק&gt;  - 4 כרכים</t>
  </si>
  <si>
    <t>תשובות ופירושי רב שרירא גאון - 2 כרכים</t>
  </si>
  <si>
    <t>רבינוביץ, נתן דוד (מהדיר) - שרירא בן חנניה גאון</t>
  </si>
  <si>
    <t>תשובות ופסקים לראב"ד</t>
  </si>
  <si>
    <t>תשובות פסקים ומנהגים - 4 כרכים</t>
  </si>
  <si>
    <t>מאיר בן ברוך מרוטנבורג</t>
  </si>
  <si>
    <t>תשי"ז - תשכ"ג</t>
  </si>
  <si>
    <t>תשובות רב שר שלום גאון</t>
  </si>
  <si>
    <t>שר שלום גאון</t>
  </si>
  <si>
    <t>שאלות ותשובות, תולדות עם ישראל</t>
  </si>
  <si>
    <t>תשובות רבי מיימון</t>
  </si>
  <si>
    <t>תשובות רבינו משה בן נחמן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</si>
</sst>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D7A2-6E73-45E8-850A-C4E634C759FD}">
  <dimension ref="A1:H520"/>
  <sheetViews>
    <sheetView tabSelected="1" workbookViewId="0">
      <selection activeCell="C4" sqref="C4"/>
    </sheetView>
  </sheetViews>
  <sheetFormatPr defaultRowHeight="15" x14ac:dyDescent="0.25"/>
  <cols>
    <col min="1" max="1" width="9.5703125" bestFit="1" customWidth="1"/>
    <col min="2" max="2" width="48.42578125" bestFit="1" customWidth="1"/>
    <col min="3" max="3" width="56.140625" bestFit="1" customWidth="1"/>
    <col min="4" max="4" width="12.140625" bestFit="1" customWidth="1"/>
    <col min="5" max="5" width="13.85546875" bestFit="1" customWidth="1"/>
    <col min="6" max="6" width="87.42578125" bestFit="1" customWidth="1"/>
    <col min="7" max="7" width="49.2851562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158442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HYPERLINK(_xlfn.CONCAT("https://tablet.otzar.org/",CHAR(35),"/book/158442/p/-1/t/1/fs/0/start/0/end/0/c"),"אבותינו")</f>
        <v>אבותינו</v>
      </c>
      <c r="H2" t="str">
        <f>_xlfn.CONCAT("https://tablet.otzar.org/",CHAR(35),"/book/158442/p/-1/t/1/fs/0/start/0/end/0/c")</f>
        <v>https://tablet.otzar.org/#/book/158442/p/-1/t/1/fs/0/start/0/end/0/c</v>
      </c>
    </row>
    <row r="3" spans="1:8" x14ac:dyDescent="0.25">
      <c r="A3">
        <v>158405</v>
      </c>
      <c r="B3" t="s">
        <v>13</v>
      </c>
      <c r="C3" t="s">
        <v>14</v>
      </c>
      <c r="D3" t="s">
        <v>10</v>
      </c>
      <c r="E3" t="s">
        <v>15</v>
      </c>
      <c r="F3" t="s">
        <v>12</v>
      </c>
      <c r="G3" t="str">
        <f>HYPERLINK(_xlfn.CONCAT("https://tablet.otzar.org/",CHAR(35),"/book/158405/p/-1/t/1/fs/0/start/0/end/0/c"),"אביי ורבא")</f>
        <v>אביי ורבא</v>
      </c>
      <c r="H3" t="str">
        <f>_xlfn.CONCAT("https://tablet.otzar.org/",CHAR(35),"/book/158405/p/-1/t/1/fs/0/start/0/end/0/c")</f>
        <v>https://tablet.otzar.org/#/book/158405/p/-1/t/1/fs/0/start/0/end/0/c</v>
      </c>
    </row>
    <row r="4" spans="1:8" x14ac:dyDescent="0.25">
      <c r="A4">
        <v>155247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HYPERLINK(_xlfn.CONCAT("https://tablet.otzar.org/",CHAR(35),"/exKotar/155247"),"אבן עזרא &lt;מוה""""ק&gt;  - 3 כרכים")</f>
        <v>אבן עזרא &lt;מוה""ק&gt;  - 3 כרכים</v>
      </c>
      <c r="H4" t="str">
        <f>_xlfn.CONCAT("https://tablet.otzar.org/",CHAR(35),"/exKotar/155247")</f>
        <v>https://tablet.otzar.org/#/exKotar/155247</v>
      </c>
    </row>
    <row r="5" spans="1:8" x14ac:dyDescent="0.25">
      <c r="A5">
        <v>155206</v>
      </c>
      <c r="B5" t="s">
        <v>20</v>
      </c>
      <c r="C5" t="s">
        <v>21</v>
      </c>
      <c r="D5" t="s">
        <v>10</v>
      </c>
      <c r="E5" t="s">
        <v>22</v>
      </c>
      <c r="F5" t="s">
        <v>23</v>
      </c>
      <c r="G5" t="str">
        <f>HYPERLINK(_xlfn.CONCAT("https://tablet.otzar.org/",CHAR(35),"/book/155206/p/-1/t/1/fs/0/start/0/end/0/c"),"אגרות הרמב""""ם &lt;מקור ותרגום&gt;")</f>
        <v>אגרות הרמב""ם &lt;מקור ותרגום&gt;</v>
      </c>
      <c r="H5" t="str">
        <f>_xlfn.CONCAT("https://tablet.otzar.org/",CHAR(35),"/book/155206/p/-1/t/1/fs/0/start/0/end/0/c")</f>
        <v>https://tablet.otzar.org/#/book/155206/p/-1/t/1/fs/0/start/0/end/0/c</v>
      </c>
    </row>
    <row r="6" spans="1:8" x14ac:dyDescent="0.25">
      <c r="A6">
        <v>155164</v>
      </c>
      <c r="B6" t="s">
        <v>24</v>
      </c>
      <c r="C6" t="s">
        <v>25</v>
      </c>
      <c r="D6" t="s">
        <v>10</v>
      </c>
      <c r="E6" t="s">
        <v>26</v>
      </c>
      <c r="F6" t="s">
        <v>27</v>
      </c>
      <c r="G6" t="str">
        <f>HYPERLINK(_xlfn.CONCAT("https://tablet.otzar.org/",CHAR(35),"/book/155164/p/-1/t/1/fs/0/start/0/end/0/c"),"אגרות צפון")</f>
        <v>אגרות צפון</v>
      </c>
      <c r="H6" t="str">
        <f>_xlfn.CONCAT("https://tablet.otzar.org/",CHAR(35),"/book/155164/p/-1/t/1/fs/0/start/0/end/0/c")</f>
        <v>https://tablet.otzar.org/#/book/155164/p/-1/t/1/fs/0/start/0/end/0/c</v>
      </c>
    </row>
    <row r="7" spans="1:8" x14ac:dyDescent="0.25">
      <c r="A7">
        <v>158406</v>
      </c>
      <c r="B7" t="s">
        <v>28</v>
      </c>
      <c r="C7" t="s">
        <v>29</v>
      </c>
      <c r="D7" t="s">
        <v>10</v>
      </c>
      <c r="E7" t="s">
        <v>30</v>
      </c>
      <c r="F7" t="s">
        <v>31</v>
      </c>
      <c r="G7" t="str">
        <f>HYPERLINK(_xlfn.CONCAT("https://tablet.otzar.org/",CHAR(35),"/book/158406/p/-1/t/1/fs/0/start/0/end/0/c"),"אגרות רבי יצחק אייזיק הלוי")</f>
        <v>אגרות רבי יצחק אייזיק הלוי</v>
      </c>
      <c r="H7" t="str">
        <f>_xlfn.CONCAT("https://tablet.otzar.org/",CHAR(35),"/book/158406/p/-1/t/1/fs/0/start/0/end/0/c")</f>
        <v>https://tablet.otzar.org/#/book/158406/p/-1/t/1/fs/0/start/0/end/0/c</v>
      </c>
    </row>
    <row r="8" spans="1:8" x14ac:dyDescent="0.25">
      <c r="A8">
        <v>157066</v>
      </c>
      <c r="B8" t="s">
        <v>32</v>
      </c>
      <c r="C8" t="s">
        <v>33</v>
      </c>
      <c r="D8" t="s">
        <v>10</v>
      </c>
      <c r="E8" t="s">
        <v>34</v>
      </c>
      <c r="F8" t="s">
        <v>35</v>
      </c>
      <c r="G8" t="str">
        <f>HYPERLINK(_xlfn.CONCAT("https://tablet.otzar.org/",CHAR(35),"/book/157066/p/-1/t/1/fs/0/start/0/end/0/c"),"אגרת בעלי חיים")</f>
        <v>אגרת בעלי חיים</v>
      </c>
      <c r="H8" t="str">
        <f>_xlfn.CONCAT("https://tablet.otzar.org/",CHAR(35),"/book/157066/p/-1/t/1/fs/0/start/0/end/0/c")</f>
        <v>https://tablet.otzar.org/#/book/157066/p/-1/t/1/fs/0/start/0/end/0/c</v>
      </c>
    </row>
    <row r="9" spans="1:8" x14ac:dyDescent="0.25">
      <c r="A9">
        <v>622915</v>
      </c>
      <c r="B9" t="s">
        <v>36</v>
      </c>
      <c r="C9" t="s">
        <v>37</v>
      </c>
      <c r="D9" t="s">
        <v>10</v>
      </c>
      <c r="E9" t="s">
        <v>38</v>
      </c>
      <c r="F9" t="s">
        <v>31</v>
      </c>
      <c r="G9" t="str">
        <f>HYPERLINK(_xlfn.CONCAT("https://tablet.otzar.org/",CHAR(35),"/book/622915/p/-1/t/1/fs/0/start/0/end/0/c"),"אגרת המופת")</f>
        <v>אגרת המופת</v>
      </c>
      <c r="H9" t="str">
        <f>_xlfn.CONCAT("https://tablet.otzar.org/",CHAR(35),"/book/622915/p/-1/t/1/fs/0/start/0/end/0/c")</f>
        <v>https://tablet.otzar.org/#/book/622915/p/-1/t/1/fs/0/start/0/end/0/c</v>
      </c>
    </row>
    <row r="10" spans="1:8" x14ac:dyDescent="0.25">
      <c r="A10">
        <v>155565</v>
      </c>
      <c r="B10" t="s">
        <v>39</v>
      </c>
      <c r="C10" t="s">
        <v>40</v>
      </c>
      <c r="D10" t="s">
        <v>10</v>
      </c>
      <c r="E10" t="s">
        <v>41</v>
      </c>
      <c r="F10" t="s">
        <v>31</v>
      </c>
      <c r="G10" t="str">
        <f>HYPERLINK(_xlfn.CONCAT("https://tablet.otzar.org/",CHAR(35),"/book/155565/p/-1/t/1/fs/0/start/0/end/0/c"),"אגרת הנחמה &lt;מוה""""ק&gt;")</f>
        <v>אגרת הנחמה &lt;מוה""ק&gt;</v>
      </c>
      <c r="H10" t="str">
        <f>_xlfn.CONCAT("https://tablet.otzar.org/",CHAR(35),"/book/155565/p/-1/t/1/fs/0/start/0/end/0/c")</f>
        <v>https://tablet.otzar.org/#/book/155565/p/-1/t/1/fs/0/start/0/end/0/c</v>
      </c>
    </row>
    <row r="11" spans="1:8" x14ac:dyDescent="0.25">
      <c r="A11">
        <v>677751</v>
      </c>
      <c r="B11" t="s">
        <v>42</v>
      </c>
      <c r="C11" t="s">
        <v>43</v>
      </c>
      <c r="D11" t="s">
        <v>10</v>
      </c>
      <c r="E11" t="s">
        <v>44</v>
      </c>
      <c r="F11" t="s">
        <v>31</v>
      </c>
      <c r="G11" t="str">
        <f>HYPERLINK(_xlfn.CONCAT("https://tablet.otzar.org/",CHAR(35),"/book/677751/p/-1/t/1/fs/0/start/0/end/0/c"),"אגרת שנית של רב שרירא גאון &lt;מוה""""ק&gt;")</f>
        <v>אגרת שנית של רב שרירא גאון &lt;מוה""ק&gt;</v>
      </c>
      <c r="H11" t="str">
        <f>_xlfn.CONCAT("https://tablet.otzar.org/",CHAR(35),"/book/677751/p/-1/t/1/fs/0/start/0/end/0/c")</f>
        <v>https://tablet.otzar.org/#/book/677751/p/-1/t/1/fs/0/start/0/end/0/c</v>
      </c>
    </row>
    <row r="12" spans="1:8" x14ac:dyDescent="0.25">
      <c r="A12">
        <v>155590</v>
      </c>
      <c r="B12" t="s">
        <v>45</v>
      </c>
      <c r="C12" t="s">
        <v>46</v>
      </c>
      <c r="D12" t="s">
        <v>10</v>
      </c>
      <c r="E12" t="s">
        <v>47</v>
      </c>
      <c r="F12" t="s">
        <v>12</v>
      </c>
      <c r="G12" t="str">
        <f>HYPERLINK(_xlfn.CONCAT("https://tablet.otzar.org/",CHAR(35),"/book/155590/p/-1/t/1/fs/0/start/0/end/0/c"),"אדמו""""רים שנספו בשואה")</f>
        <v>אדמו""רים שנספו בשואה</v>
      </c>
      <c r="H12" t="str">
        <f>_xlfn.CONCAT("https://tablet.otzar.org/",CHAR(35),"/book/155590/p/-1/t/1/fs/0/start/0/end/0/c")</f>
        <v>https://tablet.otzar.org/#/book/155590/p/-1/t/1/fs/0/start/0/end/0/c</v>
      </c>
    </row>
    <row r="13" spans="1:8" x14ac:dyDescent="0.25">
      <c r="A13">
        <v>157318</v>
      </c>
      <c r="B13" t="s">
        <v>48</v>
      </c>
      <c r="C13" t="s">
        <v>49</v>
      </c>
      <c r="D13" t="s">
        <v>10</v>
      </c>
      <c r="E13" t="s">
        <v>50</v>
      </c>
      <c r="F13" t="s">
        <v>51</v>
      </c>
      <c r="G13" t="str">
        <f>HYPERLINK(_xlfn.CONCAT("https://tablet.otzar.org/",CHAR(35),"/exKotar/157318"),"אדרת אליהו - 2 כרכים")</f>
        <v>אדרת אליהו - 2 כרכים</v>
      </c>
      <c r="H13" t="str">
        <f>_xlfn.CONCAT("https://tablet.otzar.org/",CHAR(35),"/exKotar/157318")</f>
        <v>https://tablet.otzar.org/#/exKotar/157318</v>
      </c>
    </row>
    <row r="14" spans="1:8" x14ac:dyDescent="0.25">
      <c r="A14">
        <v>688799</v>
      </c>
      <c r="B14" t="s">
        <v>52</v>
      </c>
      <c r="C14" t="s">
        <v>53</v>
      </c>
      <c r="D14" t="s">
        <v>10</v>
      </c>
      <c r="E14" t="s">
        <v>54</v>
      </c>
      <c r="G14" t="str">
        <f>HYPERLINK(_xlfn.CONCAT("https://tablet.otzar.org/",CHAR(35),"/exKotar/688799"),"אדרת אליהו &lt;מהדורת מוסד הרב קוק&gt; - 3 כרכים")</f>
        <v>אדרת אליהו &lt;מהדורת מוסד הרב קוק&gt; - 3 כרכים</v>
      </c>
      <c r="H14" t="str">
        <f>_xlfn.CONCAT("https://tablet.otzar.org/",CHAR(35),"/exKotar/688799")</f>
        <v>https://tablet.otzar.org/#/exKotar/688799</v>
      </c>
    </row>
    <row r="15" spans="1:8" x14ac:dyDescent="0.25">
      <c r="A15">
        <v>601658</v>
      </c>
      <c r="B15" t="s">
        <v>55</v>
      </c>
      <c r="C15" t="s">
        <v>56</v>
      </c>
      <c r="D15" t="s">
        <v>10</v>
      </c>
      <c r="E15" t="s">
        <v>57</v>
      </c>
      <c r="F15" t="s">
        <v>31</v>
      </c>
      <c r="G15" t="str">
        <f>HYPERLINK(_xlfn.CONCAT("https://tablet.otzar.org/",CHAR(35),"/book/601658/p/-1/t/1/fs/0/start/0/end/0/c"),"אוסף כתביו של דב זלוטניק (באנגלית)")</f>
        <v>אוסף כתביו של דב זלוטניק (באנגלית)</v>
      </c>
      <c r="H15" t="str">
        <f>_xlfn.CONCAT("https://tablet.otzar.org/",CHAR(35),"/book/601658/p/-1/t/1/fs/0/start/0/end/0/c")</f>
        <v>https://tablet.otzar.org/#/book/601658/p/-1/t/1/fs/0/start/0/end/0/c</v>
      </c>
    </row>
    <row r="16" spans="1:8" x14ac:dyDescent="0.25">
      <c r="A16">
        <v>155090</v>
      </c>
      <c r="B16" t="s">
        <v>58</v>
      </c>
      <c r="C16" t="s">
        <v>59</v>
      </c>
      <c r="D16" t="s">
        <v>10</v>
      </c>
      <c r="E16" t="s">
        <v>60</v>
      </c>
      <c r="F16" t="s">
        <v>61</v>
      </c>
      <c r="G16" t="str">
        <f>HYPERLINK(_xlfn.CONCAT("https://tablet.otzar.org/",CHAR(35),"/exKotar/155090"),"אוצר האגדה - 3 כרכים")</f>
        <v>אוצר האגדה - 3 כרכים</v>
      </c>
      <c r="H16" t="str">
        <f>_xlfn.CONCAT("https://tablet.otzar.org/",CHAR(35),"/exKotar/155090")</f>
        <v>https://tablet.otzar.org/#/exKotar/155090</v>
      </c>
    </row>
    <row r="17" spans="1:8" x14ac:dyDescent="0.25">
      <c r="A17">
        <v>181036</v>
      </c>
      <c r="B17" t="s">
        <v>62</v>
      </c>
      <c r="C17" t="s">
        <v>63</v>
      </c>
      <c r="D17" t="s">
        <v>10</v>
      </c>
      <c r="E17" t="s">
        <v>64</v>
      </c>
      <c r="F17" t="s">
        <v>19</v>
      </c>
      <c r="G17" t="str">
        <f>HYPERLINK(_xlfn.CONCAT("https://tablet.otzar.org/",CHAR(35),"/exKotar/181036"),"אוצר התורה - 4 כרכים")</f>
        <v>אוצר התורה - 4 כרכים</v>
      </c>
      <c r="H17" t="str">
        <f>_xlfn.CONCAT("https://tablet.otzar.org/",CHAR(35),"/exKotar/181036")</f>
        <v>https://tablet.otzar.org/#/exKotar/181036</v>
      </c>
    </row>
    <row r="18" spans="1:8" x14ac:dyDescent="0.25">
      <c r="A18">
        <v>157617</v>
      </c>
      <c r="B18" t="s">
        <v>65</v>
      </c>
      <c r="C18" t="s">
        <v>66</v>
      </c>
      <c r="D18" t="s">
        <v>10</v>
      </c>
      <c r="E18" t="s">
        <v>67</v>
      </c>
      <c r="F18" t="s">
        <v>68</v>
      </c>
      <c r="G18" t="str">
        <f>HYPERLINK(_xlfn.CONCAT("https://tablet.otzar.org/",CHAR(35),"/book/157617/p/-1/t/1/fs/0/start/0/end/0/c"),"אוצר התרגום")</f>
        <v>אוצר התרגום</v>
      </c>
      <c r="H18" t="str">
        <f>_xlfn.CONCAT("https://tablet.otzar.org/",CHAR(35),"/book/157617/p/-1/t/1/fs/0/start/0/end/0/c")</f>
        <v>https://tablet.otzar.org/#/book/157617/p/-1/t/1/fs/0/start/0/end/0/c</v>
      </c>
    </row>
    <row r="19" spans="1:8" x14ac:dyDescent="0.25">
      <c r="A19">
        <v>155214</v>
      </c>
      <c r="B19" t="s">
        <v>69</v>
      </c>
      <c r="C19" t="s">
        <v>70</v>
      </c>
      <c r="D19" t="s">
        <v>10</v>
      </c>
      <c r="E19" t="s">
        <v>71</v>
      </c>
      <c r="F19" t="s">
        <v>72</v>
      </c>
      <c r="G19" t="str">
        <f>HYPERLINK(_xlfn.CONCAT("https://tablet.otzar.org/",CHAR(35),"/book/155214/p/-1/t/1/fs/0/start/0/end/0/c"),"אורות הרמב""""ם")</f>
        <v>אורות הרמב""ם</v>
      </c>
      <c r="H19" t="str">
        <f>_xlfn.CONCAT("https://tablet.otzar.org/",CHAR(35),"/book/155214/p/-1/t/1/fs/0/start/0/end/0/c")</f>
        <v>https://tablet.otzar.org/#/book/155214/p/-1/t/1/fs/0/start/0/end/0/c</v>
      </c>
    </row>
    <row r="20" spans="1:8" x14ac:dyDescent="0.25">
      <c r="A20">
        <v>154987</v>
      </c>
      <c r="B20" t="s">
        <v>73</v>
      </c>
      <c r="C20" t="s">
        <v>74</v>
      </c>
      <c r="D20" t="s">
        <v>10</v>
      </c>
      <c r="E20" t="s">
        <v>75</v>
      </c>
      <c r="F20" t="s">
        <v>51</v>
      </c>
      <c r="G20" t="str">
        <f>HYPERLINK(_xlfn.CONCAT("https://tablet.otzar.org/",CHAR(35),"/book/154987/p/-1/t/1/fs/0/start/0/end/0/c"),"אורח משפט")</f>
        <v>אורח משפט</v>
      </c>
      <c r="H20" t="str">
        <f>_xlfn.CONCAT("https://tablet.otzar.org/",CHAR(35),"/book/154987/p/-1/t/1/fs/0/start/0/end/0/c")</f>
        <v>https://tablet.otzar.org/#/book/154987/p/-1/t/1/fs/0/start/0/end/0/c</v>
      </c>
    </row>
    <row r="21" spans="1:8" x14ac:dyDescent="0.25">
      <c r="A21">
        <v>157377</v>
      </c>
      <c r="B21" t="s">
        <v>76</v>
      </c>
      <c r="C21" t="s">
        <v>77</v>
      </c>
      <c r="D21" t="s">
        <v>10</v>
      </c>
      <c r="E21" t="s">
        <v>78</v>
      </c>
      <c r="F21" t="s">
        <v>72</v>
      </c>
      <c r="G21" t="str">
        <f>HYPERLINK(_xlfn.CONCAT("https://tablet.otzar.org/",CHAR(35),"/book/157377/p/-1/t/1/fs/0/start/0/end/0/c"),"אורחות משפט")</f>
        <v>אורחות משפט</v>
      </c>
      <c r="H21" t="str">
        <f>_xlfn.CONCAT("https://tablet.otzar.org/",CHAR(35),"/book/157377/p/-1/t/1/fs/0/start/0/end/0/c")</f>
        <v>https://tablet.otzar.org/#/book/157377/p/-1/t/1/fs/0/start/0/end/0/c</v>
      </c>
    </row>
    <row r="22" spans="1:8" x14ac:dyDescent="0.25">
      <c r="A22">
        <v>647279</v>
      </c>
      <c r="B22" t="s">
        <v>79</v>
      </c>
      <c r="C22" t="s">
        <v>80</v>
      </c>
      <c r="D22" t="s">
        <v>10</v>
      </c>
      <c r="E22" t="s">
        <v>44</v>
      </c>
      <c r="F22" t="s">
        <v>72</v>
      </c>
      <c r="G22" t="str">
        <f>HYPERLINK(_xlfn.CONCAT("https://tablet.otzar.org/",CHAR(35),"/exKotar/647279"),"אורי וישעי - 2 כרכים")</f>
        <v>אורי וישעי - 2 כרכים</v>
      </c>
      <c r="H22" t="str">
        <f>_xlfn.CONCAT("https://tablet.otzar.org/",CHAR(35),"/exKotar/647279")</f>
        <v>https://tablet.otzar.org/#/exKotar/647279</v>
      </c>
    </row>
    <row r="23" spans="1:8" x14ac:dyDescent="0.25">
      <c r="A23">
        <v>606693</v>
      </c>
      <c r="B23" t="s">
        <v>81</v>
      </c>
      <c r="C23" t="s">
        <v>82</v>
      </c>
      <c r="D23" t="s">
        <v>10</v>
      </c>
      <c r="E23" t="s">
        <v>83</v>
      </c>
      <c r="F23" t="s">
        <v>84</v>
      </c>
      <c r="G23" t="str">
        <f>HYPERLINK(_xlfn.CONCAT("https://tablet.otzar.org/",CHAR(35),"/book/606693/p/-1/t/1/fs/0/start/0/end/0/c"),"אחידות ושוני במלאכות שבת")</f>
        <v>אחידות ושוני במלאכות שבת</v>
      </c>
      <c r="H23" t="str">
        <f>_xlfn.CONCAT("https://tablet.otzar.org/",CHAR(35),"/book/606693/p/-1/t/1/fs/0/start/0/end/0/c")</f>
        <v>https://tablet.otzar.org/#/book/606693/p/-1/t/1/fs/0/start/0/end/0/c</v>
      </c>
    </row>
    <row r="24" spans="1:8" x14ac:dyDescent="0.25">
      <c r="A24">
        <v>674939</v>
      </c>
      <c r="B24" t="s">
        <v>85</v>
      </c>
      <c r="C24" t="s">
        <v>86</v>
      </c>
      <c r="F24" t="s">
        <v>31</v>
      </c>
      <c r="G24" t="str">
        <f>HYPERLINK(_xlfn.CONCAT("https://tablet.otzar.org/",CHAR(35),"/exKotar/674939"),"אטלס דעת מקרא - 2 כרכים")</f>
        <v>אטלס דעת מקרא - 2 כרכים</v>
      </c>
      <c r="H24" t="str">
        <f>_xlfn.CONCAT("https://tablet.otzar.org/",CHAR(35),"/exKotar/674939")</f>
        <v>https://tablet.otzar.org/#/exKotar/674939</v>
      </c>
    </row>
    <row r="25" spans="1:8" x14ac:dyDescent="0.25">
      <c r="A25">
        <v>156287</v>
      </c>
      <c r="B25" t="s">
        <v>87</v>
      </c>
      <c r="C25" t="s">
        <v>88</v>
      </c>
      <c r="D25" t="s">
        <v>10</v>
      </c>
      <c r="E25" t="s">
        <v>89</v>
      </c>
      <c r="F25" t="s">
        <v>12</v>
      </c>
      <c r="G25" t="str">
        <f>HYPERLINK(_xlfn.CONCAT("https://tablet.otzar.org/",CHAR(35),"/book/156287/p/-1/t/1/fs/0/start/0/end/0/c"),"אישים שהכרתי")</f>
        <v>אישים שהכרתי</v>
      </c>
      <c r="H25" t="str">
        <f>_xlfn.CONCAT("https://tablet.otzar.org/",CHAR(35),"/book/156287/p/-1/t/1/fs/0/start/0/end/0/c")</f>
        <v>https://tablet.otzar.org/#/book/156287/p/-1/t/1/fs/0/start/0/end/0/c</v>
      </c>
    </row>
    <row r="26" spans="1:8" x14ac:dyDescent="0.25">
      <c r="A26">
        <v>157055</v>
      </c>
      <c r="B26" t="s">
        <v>90</v>
      </c>
      <c r="C26" t="s">
        <v>91</v>
      </c>
      <c r="D26" t="s">
        <v>10</v>
      </c>
      <c r="E26" t="s">
        <v>26</v>
      </c>
      <c r="F26" t="s">
        <v>92</v>
      </c>
      <c r="G26" t="str">
        <f>HYPERLINK(_xlfn.CONCAT("https://tablet.otzar.org/",CHAR(35),"/book/157055/p/-1/t/1/fs/0/start/0/end/0/c"),"איתן אריה")</f>
        <v>איתן אריה</v>
      </c>
      <c r="H26" t="str">
        <f>_xlfn.CONCAT("https://tablet.otzar.org/",CHAR(35),"/book/157055/p/-1/t/1/fs/0/start/0/end/0/c")</f>
        <v>https://tablet.otzar.org/#/book/157055/p/-1/t/1/fs/0/start/0/end/0/c</v>
      </c>
    </row>
    <row r="27" spans="1:8" x14ac:dyDescent="0.25">
      <c r="A27">
        <v>155114</v>
      </c>
      <c r="B27" t="s">
        <v>93</v>
      </c>
      <c r="C27" t="s">
        <v>63</v>
      </c>
      <c r="D27" t="s">
        <v>10</v>
      </c>
      <c r="E27" t="s">
        <v>41</v>
      </c>
      <c r="F27" t="s">
        <v>94</v>
      </c>
      <c r="G27" t="str">
        <f>HYPERLINK(_xlfn.CONCAT("https://tablet.otzar.org/",CHAR(35),"/exKotar/155114"),"אלה הם מועדי - 3 כרכים")</f>
        <v>אלה הם מועדי - 3 כרכים</v>
      </c>
      <c r="H27" t="str">
        <f>_xlfn.CONCAT("https://tablet.otzar.org/",CHAR(35),"/exKotar/155114")</f>
        <v>https://tablet.otzar.org/#/exKotar/155114</v>
      </c>
    </row>
    <row r="28" spans="1:8" x14ac:dyDescent="0.25">
      <c r="A28">
        <v>638029</v>
      </c>
      <c r="B28" t="s">
        <v>95</v>
      </c>
      <c r="C28" t="s">
        <v>96</v>
      </c>
      <c r="D28" t="s">
        <v>10</v>
      </c>
      <c r="E28" t="s">
        <v>38</v>
      </c>
      <c r="F28" t="s">
        <v>97</v>
      </c>
      <c r="G28" t="str">
        <f>HYPERLINK(_xlfn.CONCAT("https://tablet.otzar.org/",CHAR(35),"/book/638029/p/-1/t/1/fs/0/start/0/end/0/c"),"אליבא דאמת")</f>
        <v>אליבא דאמת</v>
      </c>
      <c r="H28" t="str">
        <f>_xlfn.CONCAT("https://tablet.otzar.org/",CHAR(35),"/book/638029/p/-1/t/1/fs/0/start/0/end/0/c")</f>
        <v>https://tablet.otzar.org/#/book/638029/p/-1/t/1/fs/0/start/0/end/0/c</v>
      </c>
    </row>
    <row r="29" spans="1:8" x14ac:dyDescent="0.25">
      <c r="A29">
        <v>647363</v>
      </c>
      <c r="B29" t="s">
        <v>98</v>
      </c>
      <c r="C29" t="s">
        <v>99</v>
      </c>
      <c r="D29" t="s">
        <v>10</v>
      </c>
      <c r="E29" t="s">
        <v>44</v>
      </c>
      <c r="F29" t="s">
        <v>100</v>
      </c>
      <c r="G29" t="str">
        <f>HYPERLINK(_xlfn.CONCAT("https://tablet.otzar.org/",CHAR(35),"/exKotar/647363"),"אמר ודעת - 2 כרכים")</f>
        <v>אמר ודעת - 2 כרכים</v>
      </c>
      <c r="H29" t="str">
        <f>_xlfn.CONCAT("https://tablet.otzar.org/",CHAR(35),"/exKotar/647363")</f>
        <v>https://tablet.otzar.org/#/exKotar/647363</v>
      </c>
    </row>
    <row r="30" spans="1:8" x14ac:dyDescent="0.25">
      <c r="A30">
        <v>155184</v>
      </c>
      <c r="B30" t="s">
        <v>101</v>
      </c>
      <c r="C30" t="s">
        <v>102</v>
      </c>
      <c r="D30" t="s">
        <v>10</v>
      </c>
      <c r="E30" t="s">
        <v>103</v>
      </c>
      <c r="F30" t="s">
        <v>12</v>
      </c>
      <c r="G30" t="str">
        <f>HYPERLINK(_xlfn.CONCAT("https://tablet.otzar.org/",CHAR(35),"/book/155184/p/-1/t/1/fs/0/start/0/end/0/c"),"אני מאמין")</f>
        <v>אני מאמין</v>
      </c>
      <c r="H30" t="str">
        <f>_xlfn.CONCAT("https://tablet.otzar.org/",CHAR(35),"/book/155184/p/-1/t/1/fs/0/start/0/end/0/c")</f>
        <v>https://tablet.otzar.org/#/book/155184/p/-1/t/1/fs/0/start/0/end/0/c</v>
      </c>
    </row>
    <row r="31" spans="1:8" x14ac:dyDescent="0.25">
      <c r="A31">
        <v>143451</v>
      </c>
      <c r="B31" t="s">
        <v>104</v>
      </c>
      <c r="C31" t="s">
        <v>105</v>
      </c>
      <c r="D31" t="s">
        <v>10</v>
      </c>
      <c r="E31" t="s">
        <v>106</v>
      </c>
      <c r="F31" t="s">
        <v>107</v>
      </c>
      <c r="G31" t="str">
        <f>HYPERLINK(_xlfn.CONCAT("https://tablet.otzar.org/",CHAR(35),"/exKotar/143451"),"אנציקלופדיה לחסידות - 3 כרכים")</f>
        <v>אנציקלופדיה לחסידות - 3 כרכים</v>
      </c>
      <c r="H31" t="str">
        <f>_xlfn.CONCAT("https://tablet.otzar.org/",CHAR(35),"/exKotar/143451")</f>
        <v>https://tablet.otzar.org/#/exKotar/143451</v>
      </c>
    </row>
    <row r="32" spans="1:8" x14ac:dyDescent="0.25">
      <c r="A32">
        <v>194441</v>
      </c>
      <c r="B32" t="s">
        <v>108</v>
      </c>
      <c r="C32" t="s">
        <v>109</v>
      </c>
      <c r="D32" t="s">
        <v>10</v>
      </c>
      <c r="E32" t="s">
        <v>57</v>
      </c>
      <c r="F32" t="s">
        <v>110</v>
      </c>
      <c r="G32" t="str">
        <f>HYPERLINK(_xlfn.CONCAT("https://tablet.otzar.org/",CHAR(35),"/book/194441/p/-1/t/1/fs/0/start/0/end/0/c"),"אעברה נא")</f>
        <v>אעברה נא</v>
      </c>
      <c r="H32" t="str">
        <f>_xlfn.CONCAT("https://tablet.otzar.org/",CHAR(35),"/book/194441/p/-1/t/1/fs/0/start/0/end/0/c")</f>
        <v>https://tablet.otzar.org/#/book/194441/p/-1/t/1/fs/0/start/0/end/0/c</v>
      </c>
    </row>
    <row r="33" spans="1:8" x14ac:dyDescent="0.25">
      <c r="A33">
        <v>155094</v>
      </c>
      <c r="B33" t="s">
        <v>111</v>
      </c>
      <c r="C33" t="s">
        <v>112</v>
      </c>
      <c r="D33" t="s">
        <v>10</v>
      </c>
      <c r="E33" t="s">
        <v>113</v>
      </c>
      <c r="F33" t="s">
        <v>23</v>
      </c>
      <c r="G33" t="str">
        <f>HYPERLINK(_xlfn.CONCAT("https://tablet.otzar.org/",CHAR(35),"/exKotar/155094"),"ארץ חמדה - 2 כרכים")</f>
        <v>ארץ חמדה - 2 כרכים</v>
      </c>
      <c r="H33" t="str">
        <f>_xlfn.CONCAT("https://tablet.otzar.org/",CHAR(35),"/exKotar/155094")</f>
        <v>https://tablet.otzar.org/#/exKotar/155094</v>
      </c>
    </row>
    <row r="34" spans="1:8" x14ac:dyDescent="0.25">
      <c r="A34">
        <v>158445</v>
      </c>
      <c r="B34" t="s">
        <v>114</v>
      </c>
      <c r="C34" t="s">
        <v>115</v>
      </c>
      <c r="D34" t="s">
        <v>10</v>
      </c>
      <c r="E34" t="s">
        <v>116</v>
      </c>
      <c r="F34" t="s">
        <v>31</v>
      </c>
      <c r="G34" t="str">
        <f>HYPERLINK(_xlfn.CONCAT("https://tablet.otzar.org/",CHAR(35),"/exKotar/158445"),"ארץ ישראל בספרות התשובות - 3 כרכים")</f>
        <v>ארץ ישראל בספרות התשובות - 3 כרכים</v>
      </c>
      <c r="H34" t="str">
        <f>_xlfn.CONCAT("https://tablet.otzar.org/",CHAR(35),"/exKotar/158445")</f>
        <v>https://tablet.otzar.org/#/exKotar/158445</v>
      </c>
    </row>
    <row r="35" spans="1:8" x14ac:dyDescent="0.25">
      <c r="A35">
        <v>158437</v>
      </c>
      <c r="B35" t="s">
        <v>117</v>
      </c>
      <c r="C35" t="s">
        <v>118</v>
      </c>
      <c r="D35" t="s">
        <v>10</v>
      </c>
      <c r="E35" t="s">
        <v>119</v>
      </c>
      <c r="F35" t="s">
        <v>120</v>
      </c>
      <c r="G35" t="str">
        <f>HYPERLINK(_xlfn.CONCAT("https://tablet.otzar.org/",CHAR(35),"/book/158437/p/-1/t/1/fs/0/start/0/end/0/c"),"ארשת - ג")</f>
        <v>ארשת - ג</v>
      </c>
      <c r="H35" t="str">
        <f>_xlfn.CONCAT("https://tablet.otzar.org/",CHAR(35),"/book/158437/p/-1/t/1/fs/0/start/0/end/0/c")</f>
        <v>https://tablet.otzar.org/#/book/158437/p/-1/t/1/fs/0/start/0/end/0/c</v>
      </c>
    </row>
    <row r="36" spans="1:8" x14ac:dyDescent="0.25">
      <c r="A36">
        <v>627295</v>
      </c>
      <c r="B36" t="s">
        <v>121</v>
      </c>
      <c r="C36" t="s">
        <v>122</v>
      </c>
      <c r="D36" t="s">
        <v>10</v>
      </c>
      <c r="E36" t="s">
        <v>38</v>
      </c>
      <c r="F36" t="s">
        <v>19</v>
      </c>
      <c r="G36" t="str">
        <f>HYPERLINK(_xlfn.CONCAT("https://tablet.otzar.org/",CHAR(35),"/book/627295/p/-1/t/1/fs/0/start/0/end/0/c"),"אשת חיל מבואר ומפורש")</f>
        <v>אשת חיל מבואר ומפורש</v>
      </c>
      <c r="H36" t="str">
        <f>_xlfn.CONCAT("https://tablet.otzar.org/",CHAR(35),"/book/627295/p/-1/t/1/fs/0/start/0/end/0/c")</f>
        <v>https://tablet.otzar.org/#/book/627295/p/-1/t/1/fs/0/start/0/end/0/c</v>
      </c>
    </row>
    <row r="37" spans="1:8" x14ac:dyDescent="0.25">
      <c r="A37">
        <v>170006</v>
      </c>
      <c r="B37" t="s">
        <v>123</v>
      </c>
      <c r="C37" t="s">
        <v>63</v>
      </c>
      <c r="D37" t="s">
        <v>10</v>
      </c>
      <c r="E37" t="s">
        <v>124</v>
      </c>
      <c r="F37" t="s">
        <v>72</v>
      </c>
      <c r="G37" t="str">
        <f>HYPERLINK(_xlfn.CONCAT("https://tablet.otzar.org/",CHAR(35),"/book/170006/p/-1/t/1/fs/0/start/0/end/0/c"),"אתקינו סעודתא")</f>
        <v>אתקינו סעודתא</v>
      </c>
      <c r="H37" t="str">
        <f>_xlfn.CONCAT("https://tablet.otzar.org/",CHAR(35),"/book/170006/p/-1/t/1/fs/0/start/0/end/0/c")</f>
        <v>https://tablet.otzar.org/#/book/170006/p/-1/t/1/fs/0/start/0/end/0/c</v>
      </c>
    </row>
    <row r="38" spans="1:8" x14ac:dyDescent="0.25">
      <c r="A38">
        <v>194451</v>
      </c>
      <c r="B38" t="s">
        <v>125</v>
      </c>
      <c r="C38" t="s">
        <v>126</v>
      </c>
      <c r="D38" t="s">
        <v>10</v>
      </c>
      <c r="E38" t="s">
        <v>127</v>
      </c>
      <c r="F38" t="s">
        <v>31</v>
      </c>
      <c r="G38" t="str">
        <f>HYPERLINK(_xlfn.CONCAT("https://tablet.otzar.org/",CHAR(35),"/book/194451/p/-1/t/1/fs/0/start/0/end/0/c"),"באר השר")</f>
        <v>באר השר</v>
      </c>
      <c r="H38" t="str">
        <f>_xlfn.CONCAT("https://tablet.otzar.org/",CHAR(35),"/book/194451/p/-1/t/1/fs/0/start/0/end/0/c")</f>
        <v>https://tablet.otzar.org/#/book/194451/p/-1/t/1/fs/0/start/0/end/0/c</v>
      </c>
    </row>
    <row r="39" spans="1:8" x14ac:dyDescent="0.25">
      <c r="A39">
        <v>609946</v>
      </c>
      <c r="B39" t="s">
        <v>128</v>
      </c>
      <c r="C39" t="s">
        <v>129</v>
      </c>
      <c r="D39" t="s">
        <v>10</v>
      </c>
      <c r="E39" t="s">
        <v>83</v>
      </c>
      <c r="F39" t="s">
        <v>19</v>
      </c>
      <c r="G39" t="str">
        <f>HYPERLINK(_xlfn.CONCAT("https://tablet.otzar.org/",CHAR(35),"/exKotar/609946"),"בחגוי הסלע - 3 כרכים")</f>
        <v>בחגוי הסלע - 3 כרכים</v>
      </c>
      <c r="H39" t="str">
        <f>_xlfn.CONCAT("https://tablet.otzar.org/",CHAR(35),"/exKotar/609946")</f>
        <v>https://tablet.otzar.org/#/exKotar/609946</v>
      </c>
    </row>
    <row r="40" spans="1:8" x14ac:dyDescent="0.25">
      <c r="A40">
        <v>154978</v>
      </c>
      <c r="B40" t="s">
        <v>130</v>
      </c>
      <c r="C40" t="s">
        <v>74</v>
      </c>
      <c r="D40" t="s">
        <v>10</v>
      </c>
      <c r="E40" t="s">
        <v>131</v>
      </c>
      <c r="F40" t="s">
        <v>132</v>
      </c>
      <c r="G40" t="str">
        <f>HYPERLINK(_xlfn.CONCAT("https://tablet.otzar.org/",CHAR(35),"/book/154978/p/-1/t/1/fs/0/start/0/end/0/c"),"ביאור הגר""""א &lt;באר אליהו&gt; - הלכות דיינים")</f>
        <v>ביאור הגר""א &lt;באר אליהו&gt; - הלכות דיינים</v>
      </c>
      <c r="H40" t="str">
        <f>_xlfn.CONCAT("https://tablet.otzar.org/",CHAR(35),"/book/154978/p/-1/t/1/fs/0/start/0/end/0/c")</f>
        <v>https://tablet.otzar.org/#/book/154978/p/-1/t/1/fs/0/start/0/end/0/c</v>
      </c>
    </row>
    <row r="41" spans="1:8" x14ac:dyDescent="0.25">
      <c r="A41">
        <v>157057</v>
      </c>
      <c r="B41" t="s">
        <v>133</v>
      </c>
      <c r="C41" t="s">
        <v>134</v>
      </c>
      <c r="D41" t="s">
        <v>10</v>
      </c>
      <c r="E41" t="s">
        <v>135</v>
      </c>
      <c r="F41" t="s">
        <v>132</v>
      </c>
      <c r="G41" t="str">
        <f>HYPERLINK(_xlfn.CONCAT("https://tablet.otzar.org/",CHAR(35),"/exKotar/157057"),"ביאור הגר""""א &lt;ברכת אליהו&gt;  - 3 כרכים")</f>
        <v>ביאור הגר""א &lt;ברכת אליהו&gt;  - 3 כרכים</v>
      </c>
      <c r="H41" t="str">
        <f>_xlfn.CONCAT("https://tablet.otzar.org/",CHAR(35),"/exKotar/157057")</f>
        <v>https://tablet.otzar.org/#/exKotar/157057</v>
      </c>
    </row>
    <row r="42" spans="1:8" x14ac:dyDescent="0.25">
      <c r="A42">
        <v>174431</v>
      </c>
      <c r="B42" t="s">
        <v>136</v>
      </c>
      <c r="C42" t="s">
        <v>53</v>
      </c>
      <c r="D42" t="s">
        <v>10</v>
      </c>
      <c r="E42" t="s">
        <v>64</v>
      </c>
      <c r="F42" t="s">
        <v>19</v>
      </c>
      <c r="G42" t="str">
        <f>HYPERLINK(_xlfn.CONCAT("https://tablet.otzar.org/",CHAR(35),"/exKotar/174431"),"ביאור הגר""""א לנ""""ך - 6 כרכים")</f>
        <v>ביאור הגר""א לנ""ך - 6 כרכים</v>
      </c>
      <c r="H42" t="str">
        <f>_xlfn.CONCAT("https://tablet.otzar.org/",CHAR(35),"/exKotar/174431")</f>
        <v>https://tablet.otzar.org/#/exKotar/174431</v>
      </c>
    </row>
    <row r="43" spans="1:8" x14ac:dyDescent="0.25">
      <c r="A43">
        <v>155125</v>
      </c>
      <c r="B43" t="s">
        <v>137</v>
      </c>
      <c r="C43" t="s">
        <v>138</v>
      </c>
      <c r="D43" t="s">
        <v>10</v>
      </c>
      <c r="E43" t="s">
        <v>139</v>
      </c>
      <c r="F43" t="s">
        <v>19</v>
      </c>
      <c r="G43" t="str">
        <f>HYPERLINK(_xlfn.CONCAT("https://tablet.otzar.org/",CHAR(35),"/book/155125/p/-1/t/1/fs/0/start/0/end/0/c"),"ביאור ספורנו על התורה")</f>
        <v>ביאור ספורנו על התורה</v>
      </c>
      <c r="H43" t="str">
        <f>_xlfn.CONCAT("https://tablet.otzar.org/",CHAR(35),"/book/155125/p/-1/t/1/fs/0/start/0/end/0/c")</f>
        <v>https://tablet.otzar.org/#/book/155125/p/-1/t/1/fs/0/start/0/end/0/c</v>
      </c>
    </row>
    <row r="44" spans="1:8" x14ac:dyDescent="0.25">
      <c r="A44">
        <v>155257</v>
      </c>
      <c r="B44" t="s">
        <v>140</v>
      </c>
      <c r="C44" t="s">
        <v>141</v>
      </c>
      <c r="D44" t="s">
        <v>10</v>
      </c>
      <c r="E44" t="s">
        <v>142</v>
      </c>
      <c r="F44" t="s">
        <v>19</v>
      </c>
      <c r="G44" t="str">
        <f>HYPERLINK(_xlfn.CONCAT("https://tablet.otzar.org/",CHAR(35),"/exKotar/155257"),"ביאורי החסידות לנ""""ך - 2 כרכים")</f>
        <v>ביאורי החסידות לנ""ך - 2 כרכים</v>
      </c>
      <c r="H44" t="str">
        <f>_xlfn.CONCAT("https://tablet.otzar.org/",CHAR(35),"/exKotar/155257")</f>
        <v>https://tablet.otzar.org/#/exKotar/155257</v>
      </c>
    </row>
    <row r="45" spans="1:8" x14ac:dyDescent="0.25">
      <c r="A45">
        <v>155071</v>
      </c>
      <c r="B45" t="s">
        <v>143</v>
      </c>
      <c r="C45" t="s">
        <v>141</v>
      </c>
      <c r="D45" t="s">
        <v>10</v>
      </c>
      <c r="E45" t="s">
        <v>144</v>
      </c>
      <c r="F45" t="s">
        <v>145</v>
      </c>
      <c r="G45" t="str">
        <f>HYPERLINK(_xlfn.CONCAT("https://tablet.otzar.org/",CHAR(35),"/book/155071/p/-1/t/1/fs/0/start/0/end/0/c"),"ביאורי החסידות לש""""ס")</f>
        <v>ביאורי החסידות לש""ס</v>
      </c>
      <c r="H45" t="str">
        <f>_xlfn.CONCAT("https://tablet.otzar.org/",CHAR(35),"/book/155071/p/-1/t/1/fs/0/start/0/end/0/c")</f>
        <v>https://tablet.otzar.org/#/book/155071/p/-1/t/1/fs/0/start/0/end/0/c</v>
      </c>
    </row>
    <row r="46" spans="1:8" x14ac:dyDescent="0.25">
      <c r="A46">
        <v>677795</v>
      </c>
      <c r="B46" t="s">
        <v>146</v>
      </c>
      <c r="C46" t="s">
        <v>147</v>
      </c>
      <c r="D46" t="s">
        <v>10</v>
      </c>
      <c r="E46" t="s">
        <v>148</v>
      </c>
      <c r="F46" t="s">
        <v>72</v>
      </c>
      <c r="G46" t="str">
        <f>HYPERLINK(_xlfn.CONCAT("https://tablet.otzar.org/",CHAR(35),"/book/677795/p/-1/t/1/fs/0/start/0/end/0/c"),"בינת ברכה - הלכות ברכות")</f>
        <v>בינת ברכה - הלכות ברכות</v>
      </c>
      <c r="H46" t="str">
        <f>_xlfn.CONCAT("https://tablet.otzar.org/",CHAR(35),"/book/677795/p/-1/t/1/fs/0/start/0/end/0/c")</f>
        <v>https://tablet.otzar.org/#/book/677795/p/-1/t/1/fs/0/start/0/end/0/c</v>
      </c>
    </row>
    <row r="47" spans="1:8" x14ac:dyDescent="0.25">
      <c r="A47">
        <v>158431</v>
      </c>
      <c r="B47" t="s">
        <v>149</v>
      </c>
      <c r="C47" t="s">
        <v>150</v>
      </c>
      <c r="D47" t="s">
        <v>10</v>
      </c>
      <c r="E47" t="s">
        <v>151</v>
      </c>
      <c r="F47" t="s">
        <v>152</v>
      </c>
      <c r="G47" t="str">
        <f>HYPERLINK(_xlfn.CONCAT("https://tablet.otzar.org/",CHAR(35),"/book/158431/p/-1/t/1/fs/0/start/0/end/0/c"),"בירור מושגים")</f>
        <v>בירור מושגים</v>
      </c>
      <c r="H47" t="str">
        <f>_xlfn.CONCAT("https://tablet.otzar.org/",CHAR(35),"/book/158431/p/-1/t/1/fs/0/start/0/end/0/c")</f>
        <v>https://tablet.otzar.org/#/book/158431/p/-1/t/1/fs/0/start/0/end/0/c</v>
      </c>
    </row>
    <row r="48" spans="1:8" x14ac:dyDescent="0.25">
      <c r="A48">
        <v>157053</v>
      </c>
      <c r="B48" t="s">
        <v>153</v>
      </c>
      <c r="C48" t="s">
        <v>154</v>
      </c>
      <c r="D48" t="s">
        <v>10</v>
      </c>
      <c r="E48" t="s">
        <v>26</v>
      </c>
      <c r="F48" t="s">
        <v>51</v>
      </c>
      <c r="G48" t="str">
        <f>HYPERLINK(_xlfn.CONCAT("https://tablet.otzar.org/",CHAR(35),"/exKotar/157053"),"בית אפרים - 2 כרכים")</f>
        <v>בית אפרים - 2 כרכים</v>
      </c>
      <c r="H48" t="str">
        <f>_xlfn.CONCAT("https://tablet.otzar.org/",CHAR(35),"/exKotar/157053")</f>
        <v>https://tablet.otzar.org/#/exKotar/157053</v>
      </c>
    </row>
    <row r="49" spans="1:8" x14ac:dyDescent="0.25">
      <c r="A49">
        <v>159109</v>
      </c>
      <c r="B49" t="s">
        <v>155</v>
      </c>
      <c r="C49" t="s">
        <v>156</v>
      </c>
      <c r="D49" t="s">
        <v>10</v>
      </c>
      <c r="E49" t="s">
        <v>157</v>
      </c>
      <c r="F49" t="s">
        <v>152</v>
      </c>
      <c r="G49" t="str">
        <f>HYPERLINK(_xlfn.CONCAT("https://tablet.otzar.org/",CHAR(35),"/book/159109/p/-1/t/1/fs/0/start/0/end/0/c"),"בית הבחירה - ב""""ק")</f>
        <v>בית הבחירה - ב""ק</v>
      </c>
      <c r="H49" t="str">
        <f>_xlfn.CONCAT("https://tablet.otzar.org/",CHAR(35),"/book/159109/p/-1/t/1/fs/0/start/0/end/0/c")</f>
        <v>https://tablet.otzar.org/#/book/159109/p/-1/t/1/fs/0/start/0/end/0/c</v>
      </c>
    </row>
    <row r="50" spans="1:8" x14ac:dyDescent="0.25">
      <c r="A50">
        <v>156217</v>
      </c>
      <c r="B50" t="s">
        <v>158</v>
      </c>
      <c r="C50" t="s">
        <v>159</v>
      </c>
      <c r="D50" t="s">
        <v>10</v>
      </c>
      <c r="E50" t="s">
        <v>135</v>
      </c>
      <c r="F50" t="s">
        <v>120</v>
      </c>
      <c r="G50" t="str">
        <f>HYPERLINK(_xlfn.CONCAT("https://tablet.otzar.org/",CHAR(35),"/exKotar/156217"),"בית התלמוד - 8 כרכים")</f>
        <v>בית התלמוד - 8 כרכים</v>
      </c>
      <c r="H50" t="str">
        <f>_xlfn.CONCAT("https://tablet.otzar.org/",CHAR(35),"/exKotar/156217")</f>
        <v>https://tablet.otzar.org/#/exKotar/156217</v>
      </c>
    </row>
    <row r="51" spans="1:8" x14ac:dyDescent="0.25">
      <c r="A51">
        <v>155279</v>
      </c>
      <c r="B51" t="s">
        <v>160</v>
      </c>
      <c r="C51" t="s">
        <v>161</v>
      </c>
      <c r="D51" t="s">
        <v>10</v>
      </c>
      <c r="E51" t="s">
        <v>162</v>
      </c>
      <c r="F51" t="s">
        <v>51</v>
      </c>
      <c r="G51" t="str">
        <f>HYPERLINK(_xlfn.CONCAT("https://tablet.otzar.org/",CHAR(35),"/book/155279/p/-1/t/1/fs/0/start/0/end/0/c"),"בית מרדכי - שו""""ת ומחקרים בהלכה")</f>
        <v>בית מרדכי - שו""ת ומחקרים בהלכה</v>
      </c>
      <c r="H51" t="str">
        <f>_xlfn.CONCAT("https://tablet.otzar.org/",CHAR(35),"/book/155279/p/-1/t/1/fs/0/start/0/end/0/c")</f>
        <v>https://tablet.otzar.org/#/book/155279/p/-1/t/1/fs/0/start/0/end/0/c</v>
      </c>
    </row>
    <row r="52" spans="1:8" x14ac:dyDescent="0.25">
      <c r="A52">
        <v>156297</v>
      </c>
      <c r="B52" t="s">
        <v>163</v>
      </c>
      <c r="C52" t="s">
        <v>164</v>
      </c>
      <c r="D52" t="s">
        <v>10</v>
      </c>
      <c r="E52" t="s">
        <v>162</v>
      </c>
      <c r="F52" t="s">
        <v>165</v>
      </c>
      <c r="G52" t="str">
        <f>HYPERLINK(_xlfn.CONCAT("https://tablet.otzar.org/",CHAR(35),"/book/156297/p/-1/t/1/fs/0/start/0/end/0/c"),"במיצר")</f>
        <v>במיצר</v>
      </c>
      <c r="H52" t="str">
        <f>_xlfn.CONCAT("https://tablet.otzar.org/",CHAR(35),"/book/156297/p/-1/t/1/fs/0/start/0/end/0/c")</f>
        <v>https://tablet.otzar.org/#/book/156297/p/-1/t/1/fs/0/start/0/end/0/c</v>
      </c>
    </row>
    <row r="53" spans="1:8" x14ac:dyDescent="0.25">
      <c r="A53">
        <v>157330</v>
      </c>
      <c r="B53" t="s">
        <v>166</v>
      </c>
      <c r="C53" t="s">
        <v>167</v>
      </c>
      <c r="D53" t="s">
        <v>10</v>
      </c>
      <c r="E53" t="s">
        <v>168</v>
      </c>
      <c r="F53" t="s">
        <v>169</v>
      </c>
      <c r="G53" t="str">
        <f>HYPERLINK(_xlfn.CONCAT("https://tablet.otzar.org/",CHAR(35),"/book/157330/p/-1/t/1/fs/0/start/0/end/0/c"),"במעיני חסידות איזביצא - ראדזין")</f>
        <v>במעיני חסידות איזביצא - ראדזין</v>
      </c>
      <c r="H53" t="str">
        <f>_xlfn.CONCAT("https://tablet.otzar.org/",CHAR(35),"/book/157330/p/-1/t/1/fs/0/start/0/end/0/c")</f>
        <v>https://tablet.otzar.org/#/book/157330/p/-1/t/1/fs/0/start/0/end/0/c</v>
      </c>
    </row>
    <row r="54" spans="1:8" x14ac:dyDescent="0.25">
      <c r="A54">
        <v>158973</v>
      </c>
      <c r="B54" t="s">
        <v>170</v>
      </c>
      <c r="C54" t="s">
        <v>171</v>
      </c>
      <c r="D54" t="s">
        <v>10</v>
      </c>
      <c r="E54" t="s">
        <v>172</v>
      </c>
      <c r="F54" t="s">
        <v>12</v>
      </c>
      <c r="G54" t="str">
        <f>HYPERLINK(_xlfn.CONCAT("https://tablet.otzar.org/",CHAR(35),"/book/158973/p/-1/t/1/fs/0/start/0/end/0/c"),"במצודה הפרוסה")</f>
        <v>במצודה הפרוסה</v>
      </c>
      <c r="H54" t="str">
        <f>_xlfn.CONCAT("https://tablet.otzar.org/",CHAR(35),"/book/158973/p/-1/t/1/fs/0/start/0/end/0/c")</f>
        <v>https://tablet.otzar.org/#/book/158973/p/-1/t/1/fs/0/start/0/end/0/c</v>
      </c>
    </row>
    <row r="55" spans="1:8" x14ac:dyDescent="0.25">
      <c r="A55">
        <v>156230</v>
      </c>
      <c r="B55" t="s">
        <v>173</v>
      </c>
      <c r="C55" t="s">
        <v>174</v>
      </c>
      <c r="D55" t="s">
        <v>10</v>
      </c>
      <c r="E55" t="s">
        <v>15</v>
      </c>
      <c r="F55" t="s">
        <v>12</v>
      </c>
      <c r="G55" t="str">
        <f>HYPERLINK(_xlfn.CONCAT("https://tablet.otzar.org/",CHAR(35),"/book/156230/p/-1/t/1/fs/0/start/0/end/0/c"),"במרכזים ובתפוצות בתקופת הגאונים")</f>
        <v>במרכזים ובתפוצות בתקופת הגאונים</v>
      </c>
      <c r="H55" t="str">
        <f>_xlfn.CONCAT("https://tablet.otzar.org/",CHAR(35),"/book/156230/p/-1/t/1/fs/0/start/0/end/0/c")</f>
        <v>https://tablet.otzar.org/#/book/156230/p/-1/t/1/fs/0/start/0/end/0/c</v>
      </c>
    </row>
    <row r="56" spans="1:8" x14ac:dyDescent="0.25">
      <c r="A56">
        <v>155545</v>
      </c>
      <c r="B56" t="s">
        <v>175</v>
      </c>
      <c r="C56" t="s">
        <v>176</v>
      </c>
      <c r="D56" t="s">
        <v>10</v>
      </c>
      <c r="E56" t="s">
        <v>177</v>
      </c>
      <c r="F56" t="s">
        <v>51</v>
      </c>
      <c r="G56" t="str">
        <f>HYPERLINK(_xlfn.CONCAT("https://tablet.otzar.org/",CHAR(35),"/book/155545/p/-1/t/1/fs/0/start/0/end/0/c"),"בנין עולם - שו""""ת")</f>
        <v>בנין עולם - שו""ת</v>
      </c>
      <c r="H56" t="str">
        <f>_xlfn.CONCAT("https://tablet.otzar.org/",CHAR(35),"/book/155545/p/-1/t/1/fs/0/start/0/end/0/c")</f>
        <v>https://tablet.otzar.org/#/book/155545/p/-1/t/1/fs/0/start/0/end/0/c</v>
      </c>
    </row>
    <row r="57" spans="1:8" x14ac:dyDescent="0.25">
      <c r="A57">
        <v>155306</v>
      </c>
      <c r="B57" t="s">
        <v>178</v>
      </c>
      <c r="C57" t="s">
        <v>179</v>
      </c>
      <c r="D57" t="s">
        <v>10</v>
      </c>
      <c r="E57" t="s">
        <v>71</v>
      </c>
      <c r="F57" t="s">
        <v>152</v>
      </c>
      <c r="G57" t="str">
        <f>HYPERLINK(_xlfn.CONCAT("https://tablet.otzar.org/",CHAR(35),"/book/155306/p/-1/t/1/fs/0/start/0/end/0/c"),"בעל המאור עם השגות הראב""""ד 'כתוב שם' - ר""""ה, סוכה")</f>
        <v>בעל המאור עם השגות הראב""ד 'כתוב שם' - ר""ה, סוכה</v>
      </c>
      <c r="H57" t="str">
        <f>_xlfn.CONCAT("https://tablet.otzar.org/",CHAR(35),"/book/155306/p/-1/t/1/fs/0/start/0/end/0/c")</f>
        <v>https://tablet.otzar.org/#/book/155306/p/-1/t/1/fs/0/start/0/end/0/c</v>
      </c>
    </row>
    <row r="58" spans="1:8" x14ac:dyDescent="0.25">
      <c r="A58">
        <v>155375</v>
      </c>
      <c r="B58" t="s">
        <v>180</v>
      </c>
      <c r="C58" t="s">
        <v>181</v>
      </c>
      <c r="D58" t="s">
        <v>10</v>
      </c>
      <c r="E58" t="s">
        <v>139</v>
      </c>
      <c r="F58" t="s">
        <v>72</v>
      </c>
      <c r="G58" t="str">
        <f>HYPERLINK(_xlfn.CONCAT("https://tablet.otzar.org/",CHAR(35),"/book/155375/p/-1/t/1/fs/0/start/0/end/0/c"),"בעלי הנפש לראב""""ד בצירוף סלע המחלקות לרז""""ה")</f>
        <v>בעלי הנפש לראב""ד בצירוף סלע המחלקות לרז""ה</v>
      </c>
      <c r="H58" t="str">
        <f>_xlfn.CONCAT("https://tablet.otzar.org/",CHAR(35),"/book/155375/p/-1/t/1/fs/0/start/0/end/0/c")</f>
        <v>https://tablet.otzar.org/#/book/155375/p/-1/t/1/fs/0/start/0/end/0/c</v>
      </c>
    </row>
    <row r="59" spans="1:8" x14ac:dyDescent="0.25">
      <c r="A59">
        <v>14516</v>
      </c>
      <c r="B59" t="s">
        <v>182</v>
      </c>
      <c r="C59" t="s">
        <v>183</v>
      </c>
      <c r="D59" t="s">
        <v>10</v>
      </c>
      <c r="E59" t="s">
        <v>144</v>
      </c>
      <c r="F59" t="s">
        <v>19</v>
      </c>
      <c r="G59" t="str">
        <f>HYPERLINK(_xlfn.CONCAT("https://tablet.otzar.org/",CHAR(35),"/book/14516/p/-1/t/1/fs/0/start/0/end/0/c"),"בעלי תוספות על התורה")</f>
        <v>בעלי תוספות על התורה</v>
      </c>
      <c r="H59" t="str">
        <f>_xlfn.CONCAT("https://tablet.otzar.org/",CHAR(35),"/book/14516/p/-1/t/1/fs/0/start/0/end/0/c")</f>
        <v>https://tablet.otzar.org/#/book/14516/p/-1/t/1/fs/0/start/0/end/0/c</v>
      </c>
    </row>
    <row r="60" spans="1:8" x14ac:dyDescent="0.25">
      <c r="A60">
        <v>155288</v>
      </c>
      <c r="B60" t="s">
        <v>184</v>
      </c>
      <c r="C60" t="s">
        <v>185</v>
      </c>
      <c r="D60" t="s">
        <v>10</v>
      </c>
      <c r="E60" t="s">
        <v>177</v>
      </c>
      <c r="F60" t="s">
        <v>186</v>
      </c>
      <c r="G60" t="str">
        <f>HYPERLINK(_xlfn.CONCAT("https://tablet.otzar.org/",CHAR(35),"/book/155288/p/-1/t/1/fs/0/start/0/end/0/c"),"בעקבות היראה")</f>
        <v>בעקבות היראה</v>
      </c>
      <c r="H60" t="str">
        <f>_xlfn.CONCAT("https://tablet.otzar.org/",CHAR(35),"/book/155288/p/-1/t/1/fs/0/start/0/end/0/c")</f>
        <v>https://tablet.otzar.org/#/book/155288/p/-1/t/1/fs/0/start/0/end/0/c</v>
      </c>
    </row>
    <row r="61" spans="1:8" x14ac:dyDescent="0.25">
      <c r="A61">
        <v>638031</v>
      </c>
      <c r="B61" t="s">
        <v>187</v>
      </c>
      <c r="C61" t="s">
        <v>188</v>
      </c>
      <c r="D61" t="s">
        <v>10</v>
      </c>
      <c r="E61" t="s">
        <v>189</v>
      </c>
      <c r="F61" t="s">
        <v>190</v>
      </c>
      <c r="G61" t="str">
        <f>HYPERLINK(_xlfn.CONCAT("https://tablet.otzar.org/",CHAR(35),"/book/638031/p/-1/t/1/fs/0/start/0/end/0/c"),"בעקבות המועדים והזמנים")</f>
        <v>בעקבות המועדים והזמנים</v>
      </c>
      <c r="H61" t="str">
        <f>_xlfn.CONCAT("https://tablet.otzar.org/",CHAR(35),"/book/638031/p/-1/t/1/fs/0/start/0/end/0/c")</f>
        <v>https://tablet.otzar.org/#/book/638031/p/-1/t/1/fs/0/start/0/end/0/c</v>
      </c>
    </row>
    <row r="62" spans="1:8" x14ac:dyDescent="0.25">
      <c r="A62">
        <v>102912</v>
      </c>
      <c r="B62" t="s">
        <v>191</v>
      </c>
      <c r="C62" t="s">
        <v>192</v>
      </c>
      <c r="D62" t="s">
        <v>10</v>
      </c>
      <c r="E62" t="s">
        <v>116</v>
      </c>
      <c r="F62" t="s">
        <v>186</v>
      </c>
      <c r="G62" t="str">
        <f>HYPERLINK(_xlfn.CONCAT("https://tablet.otzar.org/",CHAR(35),"/book/102912/p/-1/t/1/fs/0/start/0/end/0/c"),"בשבילי מוסר")</f>
        <v>בשבילי מוסר</v>
      </c>
      <c r="H62" t="str">
        <f>_xlfn.CONCAT("https://tablet.otzar.org/",CHAR(35),"/book/102912/p/-1/t/1/fs/0/start/0/end/0/c")</f>
        <v>https://tablet.otzar.org/#/book/102912/p/-1/t/1/fs/0/start/0/end/0/c</v>
      </c>
    </row>
    <row r="63" spans="1:8" x14ac:dyDescent="0.25">
      <c r="A63">
        <v>145203</v>
      </c>
      <c r="B63" t="s">
        <v>193</v>
      </c>
      <c r="C63" t="s">
        <v>194</v>
      </c>
      <c r="D63" t="s">
        <v>10</v>
      </c>
      <c r="E63" t="s">
        <v>116</v>
      </c>
      <c r="F63" t="s">
        <v>12</v>
      </c>
      <c r="G63" t="str">
        <f>HYPERLINK(_xlfn.CONCAT("https://tablet.otzar.org/",CHAR(35),"/book/145203/p/-1/t/1/fs/0/start/0/end/0/c"),"בשערי ספר")</f>
        <v>בשערי ספר</v>
      </c>
      <c r="H63" t="str">
        <f>_xlfn.CONCAT("https://tablet.otzar.org/",CHAR(35),"/book/145203/p/-1/t/1/fs/0/start/0/end/0/c")</f>
        <v>https://tablet.otzar.org/#/book/145203/p/-1/t/1/fs/0/start/0/end/0/c</v>
      </c>
    </row>
    <row r="64" spans="1:8" x14ac:dyDescent="0.25">
      <c r="A64">
        <v>157384</v>
      </c>
      <c r="B64" t="s">
        <v>195</v>
      </c>
      <c r="C64" t="s">
        <v>196</v>
      </c>
      <c r="D64" t="s">
        <v>10</v>
      </c>
      <c r="E64" t="s">
        <v>197</v>
      </c>
      <c r="F64" t="s">
        <v>110</v>
      </c>
      <c r="G64" t="str">
        <f>HYPERLINK(_xlfn.CONCAT("https://tablet.otzar.org/",CHAR(35),"/book/157384/p/-1/t/1/fs/0/start/0/end/0/c"),"בתי הכנסיות בארץ - ישראל")</f>
        <v>בתי הכנסיות בארץ - ישראל</v>
      </c>
      <c r="H64" t="str">
        <f>_xlfn.CONCAT("https://tablet.otzar.org/",CHAR(35),"/book/157384/p/-1/t/1/fs/0/start/0/end/0/c")</f>
        <v>https://tablet.otzar.org/#/book/157384/p/-1/t/1/fs/0/start/0/end/0/c</v>
      </c>
    </row>
    <row r="65" spans="1:8" x14ac:dyDescent="0.25">
      <c r="A65">
        <v>158421</v>
      </c>
      <c r="B65" t="s">
        <v>198</v>
      </c>
      <c r="C65" t="s">
        <v>199</v>
      </c>
      <c r="D65" t="s">
        <v>10</v>
      </c>
      <c r="E65" t="s">
        <v>200</v>
      </c>
      <c r="F65" t="s">
        <v>12</v>
      </c>
      <c r="G65" t="str">
        <f>HYPERLINK(_xlfn.CONCAT("https://tablet.otzar.org/",CHAR(35),"/book/158421/p/-1/t/1/fs/0/start/0/end/0/c"),"בתי כנסת בפולין וחורבנם")</f>
        <v>בתי כנסת בפולין וחורבנם</v>
      </c>
      <c r="H65" t="str">
        <f>_xlfn.CONCAT("https://tablet.otzar.org/",CHAR(35),"/book/158421/p/-1/t/1/fs/0/start/0/end/0/c")</f>
        <v>https://tablet.otzar.org/#/book/158421/p/-1/t/1/fs/0/start/0/end/0/c</v>
      </c>
    </row>
    <row r="66" spans="1:8" x14ac:dyDescent="0.25">
      <c r="A66">
        <v>606691</v>
      </c>
      <c r="B66" t="s">
        <v>201</v>
      </c>
      <c r="C66" t="s">
        <v>202</v>
      </c>
      <c r="D66" t="s">
        <v>10</v>
      </c>
      <c r="E66" t="s">
        <v>83</v>
      </c>
      <c r="F66" t="s">
        <v>203</v>
      </c>
      <c r="G66" t="str">
        <f>HYPERLINK(_xlfn.CONCAT("https://tablet.otzar.org/",CHAR(35),"/book/606691/p/-1/t/1/fs/0/start/0/end/0/c"),"גאולת אברהם")</f>
        <v>גאולת אברהם</v>
      </c>
      <c r="H66" t="str">
        <f>_xlfn.CONCAT("https://tablet.otzar.org/",CHAR(35),"/book/606691/p/-1/t/1/fs/0/start/0/end/0/c")</f>
        <v>https://tablet.otzar.org/#/book/606691/p/-1/t/1/fs/0/start/0/end/0/c</v>
      </c>
    </row>
    <row r="67" spans="1:8" x14ac:dyDescent="0.25">
      <c r="A67">
        <v>156300</v>
      </c>
      <c r="B67" t="s">
        <v>204</v>
      </c>
      <c r="C67" t="s">
        <v>205</v>
      </c>
      <c r="D67" t="s">
        <v>10</v>
      </c>
      <c r="E67" t="s">
        <v>206</v>
      </c>
      <c r="F67" t="s">
        <v>19</v>
      </c>
      <c r="G67" t="str">
        <f>HYPERLINK(_xlfn.CONCAT("https://tablet.otzar.org/",CHAR(35),"/book/156300/p/-1/t/1/fs/0/start/0/end/0/c"),"גנוזות רש""""י")</f>
        <v>גנוזות רש""י</v>
      </c>
      <c r="H67" t="str">
        <f>_xlfn.CONCAT("https://tablet.otzar.org/",CHAR(35),"/book/156300/p/-1/t/1/fs/0/start/0/end/0/c")</f>
        <v>https://tablet.otzar.org/#/book/156300/p/-1/t/1/fs/0/start/0/end/0/c</v>
      </c>
    </row>
    <row r="68" spans="1:8" x14ac:dyDescent="0.25">
      <c r="A68">
        <v>157056</v>
      </c>
      <c r="B68" t="s">
        <v>207</v>
      </c>
      <c r="C68" t="s">
        <v>208</v>
      </c>
      <c r="D68" t="s">
        <v>10</v>
      </c>
      <c r="E68" t="s">
        <v>89</v>
      </c>
      <c r="F68" t="s">
        <v>120</v>
      </c>
      <c r="G68" t="str">
        <f>HYPERLINK(_xlfn.CONCAT("https://tablet.otzar.org/",CHAR(35),"/book/157056/p/-1/t/1/fs/0/start/0/end/0/c"),"גנזי משנה")</f>
        <v>גנזי משנה</v>
      </c>
      <c r="H68" t="str">
        <f>_xlfn.CONCAT("https://tablet.otzar.org/",CHAR(35),"/book/157056/p/-1/t/1/fs/0/start/0/end/0/c")</f>
        <v>https://tablet.otzar.org/#/book/157056/p/-1/t/1/fs/0/start/0/end/0/c</v>
      </c>
    </row>
    <row r="69" spans="1:8" x14ac:dyDescent="0.25">
      <c r="A69">
        <v>155165</v>
      </c>
      <c r="B69" t="s">
        <v>209</v>
      </c>
      <c r="C69" t="s">
        <v>210</v>
      </c>
      <c r="D69" t="s">
        <v>10</v>
      </c>
      <c r="E69" t="s">
        <v>139</v>
      </c>
      <c r="F69" t="s">
        <v>19</v>
      </c>
      <c r="G69" t="str">
        <f>HYPERLINK(_xlfn.CONCAT("https://tablet.otzar.org/",CHAR(35),"/book/155165/p/-1/t/1/fs/0/start/0/end/0/c"),"דברי דוד - טורי זהב")</f>
        <v>דברי דוד - טורי זהב</v>
      </c>
      <c r="H69" t="str">
        <f>_xlfn.CONCAT("https://tablet.otzar.org/",CHAR(35),"/book/155165/p/-1/t/1/fs/0/start/0/end/0/c")</f>
        <v>https://tablet.otzar.org/#/book/155165/p/-1/t/1/fs/0/start/0/end/0/c</v>
      </c>
    </row>
    <row r="70" spans="1:8" x14ac:dyDescent="0.25">
      <c r="A70">
        <v>677814</v>
      </c>
      <c r="B70" t="s">
        <v>211</v>
      </c>
      <c r="C70" t="s">
        <v>212</v>
      </c>
      <c r="D70" t="s">
        <v>10</v>
      </c>
      <c r="E70" t="s">
        <v>148</v>
      </c>
      <c r="F70" t="s">
        <v>213</v>
      </c>
      <c r="G70" t="str">
        <f>HYPERLINK(_xlfn.CONCAT("https://tablet.otzar.org/",CHAR(35),"/exKotar/677814"),"דברי יהושע - 3 כרכים")</f>
        <v>דברי יהושע - 3 כרכים</v>
      </c>
      <c r="H70" t="str">
        <f>_xlfn.CONCAT("https://tablet.otzar.org/",CHAR(35),"/exKotar/677814")</f>
        <v>https://tablet.otzar.org/#/exKotar/677814</v>
      </c>
    </row>
    <row r="71" spans="1:8" x14ac:dyDescent="0.25">
      <c r="A71">
        <v>157367</v>
      </c>
      <c r="B71" t="s">
        <v>214</v>
      </c>
      <c r="C71" t="s">
        <v>215</v>
      </c>
      <c r="D71" t="s">
        <v>10</v>
      </c>
      <c r="E71" t="s">
        <v>216</v>
      </c>
      <c r="F71" t="s">
        <v>217</v>
      </c>
      <c r="G71" t="str">
        <f>HYPERLINK(_xlfn.CONCAT("https://tablet.otzar.org/",CHAR(35),"/exKotar/157367"),"דברי יוסף - 2 כרכים")</f>
        <v>דברי יוסף - 2 כרכים</v>
      </c>
      <c r="H71" t="str">
        <f>_xlfn.CONCAT("https://tablet.otzar.org/",CHAR(35),"/exKotar/157367")</f>
        <v>https://tablet.otzar.org/#/exKotar/157367</v>
      </c>
    </row>
    <row r="72" spans="1:8" x14ac:dyDescent="0.25">
      <c r="A72">
        <v>158398</v>
      </c>
      <c r="B72" t="s">
        <v>218</v>
      </c>
      <c r="C72" t="s">
        <v>219</v>
      </c>
      <c r="D72" t="s">
        <v>10</v>
      </c>
      <c r="E72" t="s">
        <v>26</v>
      </c>
      <c r="F72" t="s">
        <v>51</v>
      </c>
      <c r="G72" t="str">
        <f>HYPERLINK(_xlfn.CONCAT("https://tablet.otzar.org/",CHAR(35),"/exKotar/158398"),"דברי מלכיאל - 3 כרכים")</f>
        <v>דברי מלכיאל - 3 כרכים</v>
      </c>
      <c r="H72" t="str">
        <f>_xlfn.CONCAT("https://tablet.otzar.org/",CHAR(35),"/exKotar/158398")</f>
        <v>https://tablet.otzar.org/#/exKotar/158398</v>
      </c>
    </row>
    <row r="73" spans="1:8" x14ac:dyDescent="0.25">
      <c r="A73">
        <v>157060</v>
      </c>
      <c r="B73" t="s">
        <v>220</v>
      </c>
      <c r="C73" t="s">
        <v>221</v>
      </c>
      <c r="D73" t="s">
        <v>10</v>
      </c>
      <c r="E73" t="s">
        <v>222</v>
      </c>
      <c r="F73" t="s">
        <v>152</v>
      </c>
      <c r="G73" t="str">
        <f>HYPERLINK(_xlfn.CONCAT("https://tablet.otzar.org/",CHAR(35),"/book/157060/p/-1/t/1/fs/0/start/0/end/0/c"),"דגל ראובן - ג")</f>
        <v>דגל ראובן - ג</v>
      </c>
      <c r="H73" t="str">
        <f>_xlfn.CONCAT("https://tablet.otzar.org/",CHAR(35),"/book/157060/p/-1/t/1/fs/0/start/0/end/0/c")</f>
        <v>https://tablet.otzar.org/#/book/157060/p/-1/t/1/fs/0/start/0/end/0/c</v>
      </c>
    </row>
    <row r="74" spans="1:8" x14ac:dyDescent="0.25">
      <c r="A74">
        <v>169994</v>
      </c>
      <c r="B74" t="s">
        <v>223</v>
      </c>
      <c r="C74" t="s">
        <v>224</v>
      </c>
      <c r="D74" t="s">
        <v>10</v>
      </c>
      <c r="E74" t="s">
        <v>124</v>
      </c>
      <c r="F74" t="s">
        <v>19</v>
      </c>
      <c r="G74" t="str">
        <f>HYPERLINK(_xlfn.CONCAT("https://tablet.otzar.org/",CHAR(35),"/exKotar/169994"),"דודי נתן - 2 כרכים")</f>
        <v>דודי נתן - 2 כרכים</v>
      </c>
      <c r="H74" t="str">
        <f>_xlfn.CONCAT("https://tablet.otzar.org/",CHAR(35),"/exKotar/169994")</f>
        <v>https://tablet.otzar.org/#/exKotar/169994</v>
      </c>
    </row>
    <row r="75" spans="1:8" x14ac:dyDescent="0.25">
      <c r="A75">
        <v>638048</v>
      </c>
      <c r="B75" t="s">
        <v>225</v>
      </c>
      <c r="C75" t="s">
        <v>226</v>
      </c>
      <c r="D75" t="s">
        <v>10</v>
      </c>
      <c r="E75" t="s">
        <v>189</v>
      </c>
      <c r="G75" t="str">
        <f>HYPERLINK(_xlfn.CONCAT("https://tablet.otzar.org/",CHAR(35),"/book/638048/p/-1/t/1/fs/0/start/0/end/0/c"),"דורש טוב")</f>
        <v>דורש טוב</v>
      </c>
      <c r="H75" t="str">
        <f>_xlfn.CONCAT("https://tablet.otzar.org/",CHAR(35),"/book/638048/p/-1/t/1/fs/0/start/0/end/0/c")</f>
        <v>https://tablet.otzar.org/#/book/638048/p/-1/t/1/fs/0/start/0/end/0/c</v>
      </c>
    </row>
    <row r="76" spans="1:8" x14ac:dyDescent="0.25">
      <c r="A76">
        <v>155576</v>
      </c>
      <c r="B76" t="s">
        <v>227</v>
      </c>
      <c r="C76" t="s">
        <v>228</v>
      </c>
      <c r="D76" t="s">
        <v>10</v>
      </c>
      <c r="E76" t="s">
        <v>22</v>
      </c>
      <c r="F76" t="s">
        <v>229</v>
      </c>
      <c r="G76" t="str">
        <f>HYPERLINK(_xlfn.CONCAT("https://tablet.otzar.org/",CHAR(35),"/book/155576/p/-1/t/1/fs/0/start/0/end/0/c"),"דין השיר")</f>
        <v>דין השיר</v>
      </c>
      <c r="H76" t="str">
        <f>_xlfn.CONCAT("https://tablet.otzar.org/",CHAR(35),"/book/155576/p/-1/t/1/fs/0/start/0/end/0/c")</f>
        <v>https://tablet.otzar.org/#/book/155576/p/-1/t/1/fs/0/start/0/end/0/c</v>
      </c>
    </row>
    <row r="77" spans="1:8" x14ac:dyDescent="0.25">
      <c r="A77">
        <v>156202</v>
      </c>
      <c r="B77" t="s">
        <v>230</v>
      </c>
      <c r="C77" t="s">
        <v>231</v>
      </c>
      <c r="D77" t="s">
        <v>10</v>
      </c>
      <c r="E77" t="s">
        <v>22</v>
      </c>
      <c r="F77" t="s">
        <v>12</v>
      </c>
      <c r="G77" t="str">
        <f>HYPERLINK(_xlfn.CONCAT("https://tablet.otzar.org/",CHAR(35),"/book/156202/p/-1/t/1/fs/0/start/0/end/0/c"),"דם ודמע בגיטו לודז'")</f>
        <v>דם ודמע בגיטו לודז'</v>
      </c>
      <c r="H77" t="str">
        <f>_xlfn.CONCAT("https://tablet.otzar.org/",CHAR(35),"/book/156202/p/-1/t/1/fs/0/start/0/end/0/c")</f>
        <v>https://tablet.otzar.org/#/book/156202/p/-1/t/1/fs/0/start/0/end/0/c</v>
      </c>
    </row>
    <row r="78" spans="1:8" x14ac:dyDescent="0.25">
      <c r="A78">
        <v>156232</v>
      </c>
      <c r="B78" t="s">
        <v>232</v>
      </c>
      <c r="C78" t="s">
        <v>233</v>
      </c>
      <c r="D78" t="s">
        <v>10</v>
      </c>
      <c r="E78" t="s">
        <v>177</v>
      </c>
      <c r="F78" t="s">
        <v>12</v>
      </c>
      <c r="G78" t="str">
        <f>HYPERLINK(_xlfn.CONCAT("https://tablet.otzar.org/",CHAR(35),"/book/156232/p/-1/t/1/fs/0/start/0/end/0/c"),"דמויות ואירועים היסטורים")</f>
        <v>דמויות ואירועים היסטורים</v>
      </c>
      <c r="H78" t="str">
        <f>_xlfn.CONCAT("https://tablet.otzar.org/",CHAR(35),"/book/156232/p/-1/t/1/fs/0/start/0/end/0/c")</f>
        <v>https://tablet.otzar.org/#/book/156232/p/-1/t/1/fs/0/start/0/end/0/c</v>
      </c>
    </row>
    <row r="79" spans="1:8" x14ac:dyDescent="0.25">
      <c r="A79">
        <v>154985</v>
      </c>
      <c r="B79" t="s">
        <v>234</v>
      </c>
      <c r="C79" t="s">
        <v>74</v>
      </c>
      <c r="D79" t="s">
        <v>10</v>
      </c>
      <c r="E79" t="s">
        <v>235</v>
      </c>
      <c r="F79" t="s">
        <v>51</v>
      </c>
      <c r="G79" t="str">
        <f>HYPERLINK(_xlfn.CONCAT("https://tablet.otzar.org/",CHAR(35),"/book/154985/p/-1/t/1/fs/0/start/0/end/0/c"),"דעת כהן")</f>
        <v>דעת כהן</v>
      </c>
      <c r="H79" t="str">
        <f>_xlfn.CONCAT("https://tablet.otzar.org/",CHAR(35),"/book/154985/p/-1/t/1/fs/0/start/0/end/0/c")</f>
        <v>https://tablet.otzar.org/#/book/154985/p/-1/t/1/fs/0/start/0/end/0/c</v>
      </c>
    </row>
    <row r="80" spans="1:8" x14ac:dyDescent="0.25">
      <c r="A80">
        <v>157388</v>
      </c>
      <c r="B80" t="s">
        <v>236</v>
      </c>
      <c r="C80" t="s">
        <v>237</v>
      </c>
      <c r="D80" t="s">
        <v>10</v>
      </c>
      <c r="E80" t="s">
        <v>238</v>
      </c>
      <c r="F80" t="s">
        <v>68</v>
      </c>
      <c r="G80" t="str">
        <f>HYPERLINK(_xlfn.CONCAT("https://tablet.otzar.org/",CHAR(35),"/exKotar/157388"),"דעת עזרא &lt;על פירוש ראב""""ע&gt;  - 6 כרכים")</f>
        <v>דעת עזרא &lt;על פירוש ראב""ע&gt;  - 6 כרכים</v>
      </c>
      <c r="H80" t="str">
        <f>_xlfn.CONCAT("https://tablet.otzar.org/",CHAR(35),"/exKotar/157388")</f>
        <v>https://tablet.otzar.org/#/exKotar/157388</v>
      </c>
    </row>
    <row r="81" spans="1:8" x14ac:dyDescent="0.25">
      <c r="A81">
        <v>638032</v>
      </c>
      <c r="B81" t="s">
        <v>239</v>
      </c>
      <c r="C81" t="s">
        <v>53</v>
      </c>
      <c r="D81" t="s">
        <v>10</v>
      </c>
      <c r="E81" t="s">
        <v>38</v>
      </c>
      <c r="F81" t="s">
        <v>31</v>
      </c>
      <c r="G81" t="str">
        <f>HYPERLINK(_xlfn.CONCAT("https://tablet.otzar.org/",CHAR(35),"/book/638032/p/-1/t/1/fs/0/start/0/end/0/c"),"דקדוק אליהו &lt;מהדורה חדשה&gt;")</f>
        <v>דקדוק אליהו &lt;מהדורה חדשה&gt;</v>
      </c>
      <c r="H81" t="str">
        <f>_xlfn.CONCAT("https://tablet.otzar.org/",CHAR(35),"/book/638032/p/-1/t/1/fs/0/start/0/end/0/c")</f>
        <v>https://tablet.otzar.org/#/book/638032/p/-1/t/1/fs/0/start/0/end/0/c</v>
      </c>
    </row>
    <row r="82" spans="1:8" x14ac:dyDescent="0.25">
      <c r="A82">
        <v>155198</v>
      </c>
      <c r="B82" t="s">
        <v>240</v>
      </c>
      <c r="C82" t="s">
        <v>241</v>
      </c>
      <c r="D82" t="s">
        <v>10</v>
      </c>
      <c r="E82" t="s">
        <v>131</v>
      </c>
      <c r="F82" t="s">
        <v>110</v>
      </c>
      <c r="G82" t="str">
        <f>HYPERLINK(_xlfn.CONCAT("https://tablet.otzar.org/",CHAR(35),"/book/155198/p/-1/t/1/fs/0/start/0/end/0/c"),"דרישת ציון")</f>
        <v>דרישת ציון</v>
      </c>
      <c r="H82" t="str">
        <f>_xlfn.CONCAT("https://tablet.otzar.org/",CHAR(35),"/book/155198/p/-1/t/1/fs/0/start/0/end/0/c")</f>
        <v>https://tablet.otzar.org/#/book/155198/p/-1/t/1/fs/0/start/0/end/0/c</v>
      </c>
    </row>
    <row r="83" spans="1:8" x14ac:dyDescent="0.25">
      <c r="A83">
        <v>677777</v>
      </c>
      <c r="B83" t="s">
        <v>242</v>
      </c>
      <c r="C83" t="s">
        <v>243</v>
      </c>
      <c r="D83" t="s">
        <v>10</v>
      </c>
      <c r="E83" t="s">
        <v>244</v>
      </c>
      <c r="F83" t="s">
        <v>31</v>
      </c>
      <c r="G83" t="str">
        <f>HYPERLINK(_xlfn.CONCAT("https://tablet.otzar.org/",CHAR(35),"/book/677777/p/-1/t/1/fs/0/start/0/end/0/c"),"דרכי רש""""י")</f>
        <v>דרכי רש""י</v>
      </c>
      <c r="H83" t="str">
        <f>_xlfn.CONCAT("https://tablet.otzar.org/",CHAR(35),"/book/677777/p/-1/t/1/fs/0/start/0/end/0/c")</f>
        <v>https://tablet.otzar.org/#/book/677777/p/-1/t/1/fs/0/start/0/end/0/c</v>
      </c>
    </row>
    <row r="84" spans="1:8" x14ac:dyDescent="0.25">
      <c r="A84">
        <v>194405</v>
      </c>
      <c r="B84" t="s">
        <v>245</v>
      </c>
      <c r="C84" t="s">
        <v>246</v>
      </c>
      <c r="D84" t="s">
        <v>10</v>
      </c>
      <c r="E84" t="s">
        <v>57</v>
      </c>
      <c r="F84" t="s">
        <v>247</v>
      </c>
      <c r="G84" t="str">
        <f>HYPERLINK(_xlfn.CONCAT("https://tablet.otzar.org/",CHAR(35),"/book/194405/p/-1/t/1/fs/0/start/0/end/0/c"),"דרשות בית דוד")</f>
        <v>דרשות בית דוד</v>
      </c>
      <c r="H84" t="str">
        <f>_xlfn.CONCAT("https://tablet.otzar.org/",CHAR(35),"/book/194405/p/-1/t/1/fs/0/start/0/end/0/c")</f>
        <v>https://tablet.otzar.org/#/book/194405/p/-1/t/1/fs/0/start/0/end/0/c</v>
      </c>
    </row>
    <row r="85" spans="1:8" x14ac:dyDescent="0.25">
      <c r="A85">
        <v>601537</v>
      </c>
      <c r="B85" t="s">
        <v>248</v>
      </c>
      <c r="C85" t="s">
        <v>249</v>
      </c>
      <c r="D85" t="s">
        <v>10</v>
      </c>
      <c r="E85" t="s">
        <v>127</v>
      </c>
      <c r="F85" t="s">
        <v>100</v>
      </c>
      <c r="G85" t="str">
        <f>HYPERLINK(_xlfn.CONCAT("https://tablet.otzar.org/",CHAR(35),"/book/601537/p/-1/t/1/fs/0/start/0/end/0/c"),"דרשות הר""""ן השלם מנוקד")</f>
        <v>דרשות הר""ן השלם מנוקד</v>
      </c>
      <c r="H85" t="str">
        <f>_xlfn.CONCAT("https://tablet.otzar.org/",CHAR(35),"/book/601537/p/-1/t/1/fs/0/start/0/end/0/c")</f>
        <v>https://tablet.otzar.org/#/book/601537/p/-1/t/1/fs/0/start/0/end/0/c</v>
      </c>
    </row>
    <row r="86" spans="1:8" x14ac:dyDescent="0.25">
      <c r="A86">
        <v>154751</v>
      </c>
      <c r="B86" t="s">
        <v>250</v>
      </c>
      <c r="C86" t="s">
        <v>249</v>
      </c>
      <c r="D86" t="s">
        <v>10</v>
      </c>
      <c r="E86" t="s">
        <v>251</v>
      </c>
      <c r="F86" t="s">
        <v>100</v>
      </c>
      <c r="G86" t="str">
        <f>HYPERLINK(_xlfn.CONCAT("https://tablet.otzar.org/",CHAR(35),"/book/154751/p/-1/t/1/fs/0/start/0/end/0/c"),"דרשות הר""""ן השלם עם פירוש בארות משה")</f>
        <v>דרשות הר""ן השלם עם פירוש בארות משה</v>
      </c>
      <c r="H86" t="str">
        <f>_xlfn.CONCAT("https://tablet.otzar.org/",CHAR(35),"/book/154751/p/-1/t/1/fs/0/start/0/end/0/c")</f>
        <v>https://tablet.otzar.org/#/book/154751/p/-1/t/1/fs/0/start/0/end/0/c</v>
      </c>
    </row>
    <row r="87" spans="1:8" x14ac:dyDescent="0.25">
      <c r="A87">
        <v>194404</v>
      </c>
      <c r="B87" t="s">
        <v>252</v>
      </c>
      <c r="C87" t="s">
        <v>246</v>
      </c>
      <c r="D87" t="s">
        <v>10</v>
      </c>
      <c r="E87" t="s">
        <v>57</v>
      </c>
      <c r="F87" t="s">
        <v>100</v>
      </c>
      <c r="G87" t="str">
        <f>HYPERLINK(_xlfn.CONCAT("https://tablet.otzar.org/",CHAR(35),"/book/194404/p/-1/t/1/fs/0/start/0/end/0/c"),"דרשות נחלת דוד")</f>
        <v>דרשות נחלת דוד</v>
      </c>
      <c r="H87" t="str">
        <f>_xlfn.CONCAT("https://tablet.otzar.org/",CHAR(35),"/book/194404/p/-1/t/1/fs/0/start/0/end/0/c")</f>
        <v>https://tablet.otzar.org/#/book/194404/p/-1/t/1/fs/0/start/0/end/0/c</v>
      </c>
    </row>
    <row r="88" spans="1:8" x14ac:dyDescent="0.25">
      <c r="A88">
        <v>676044</v>
      </c>
      <c r="B88" t="s">
        <v>253</v>
      </c>
      <c r="C88" t="s">
        <v>254</v>
      </c>
      <c r="D88" t="s">
        <v>10</v>
      </c>
      <c r="E88" t="s">
        <v>189</v>
      </c>
      <c r="F88" t="s">
        <v>190</v>
      </c>
      <c r="G88" t="str">
        <f>HYPERLINK(_xlfn.CONCAT("https://tablet.otzar.org/",CHAR(35),"/book/676044/p/-1/t/1/fs/0/start/0/end/0/c"),"האתרוג")</f>
        <v>האתרוג</v>
      </c>
      <c r="H88" t="str">
        <f>_xlfn.CONCAT("https://tablet.otzar.org/",CHAR(35),"/book/676044/p/-1/t/1/fs/0/start/0/end/0/c")</f>
        <v>https://tablet.otzar.org/#/book/676044/p/-1/t/1/fs/0/start/0/end/0/c</v>
      </c>
    </row>
    <row r="89" spans="1:8" x14ac:dyDescent="0.25">
      <c r="A89">
        <v>155305</v>
      </c>
      <c r="B89" t="s">
        <v>255</v>
      </c>
      <c r="C89" t="s">
        <v>256</v>
      </c>
      <c r="D89" t="s">
        <v>10</v>
      </c>
      <c r="E89" t="s">
        <v>257</v>
      </c>
      <c r="F89" t="s">
        <v>31</v>
      </c>
      <c r="G89" t="str">
        <f>HYPERLINK(_xlfn.CONCAT("https://tablet.otzar.org/",CHAR(35),"/book/155305/p/-1/t/1/fs/0/start/0/end/0/c"),"הבית השני בתפארתו")</f>
        <v>הבית השני בתפארתו</v>
      </c>
      <c r="H89" t="str">
        <f>_xlfn.CONCAT("https://tablet.otzar.org/",CHAR(35),"/book/155305/p/-1/t/1/fs/0/start/0/end/0/c")</f>
        <v>https://tablet.otzar.org/#/book/155305/p/-1/t/1/fs/0/start/0/end/0/c</v>
      </c>
    </row>
    <row r="90" spans="1:8" x14ac:dyDescent="0.25">
      <c r="A90">
        <v>170011</v>
      </c>
      <c r="B90" t="s">
        <v>258</v>
      </c>
      <c r="C90" t="s">
        <v>176</v>
      </c>
      <c r="D90" t="s">
        <v>10</v>
      </c>
      <c r="E90" t="s">
        <v>124</v>
      </c>
      <c r="F90" t="s">
        <v>190</v>
      </c>
      <c r="G90" t="str">
        <f>HYPERLINK(_xlfn.CONCAT("https://tablet.otzar.org/",CHAR(35),"/book/170011/p/-1/t/1/fs/0/start/0/end/0/c"),"הגדה של פסח &lt;יד מצרים&gt;")</f>
        <v>הגדה של פסח &lt;יד מצרים&gt;</v>
      </c>
      <c r="H90" t="str">
        <f>_xlfn.CONCAT("https://tablet.otzar.org/",CHAR(35),"/book/170011/p/-1/t/1/fs/0/start/0/end/0/c")</f>
        <v>https://tablet.otzar.org/#/book/170011/p/-1/t/1/fs/0/start/0/end/0/c</v>
      </c>
    </row>
    <row r="91" spans="1:8" x14ac:dyDescent="0.25">
      <c r="A91">
        <v>170024</v>
      </c>
      <c r="B91" t="s">
        <v>259</v>
      </c>
      <c r="C91" t="s">
        <v>260</v>
      </c>
      <c r="D91" t="s">
        <v>10</v>
      </c>
      <c r="E91" t="s">
        <v>238</v>
      </c>
      <c r="F91" t="s">
        <v>190</v>
      </c>
      <c r="G91" t="str">
        <f>HYPERLINK(_xlfn.CONCAT("https://tablet.otzar.org/",CHAR(35),"/book/170024/p/-1/t/1/fs/0/start/0/end/0/c"),"הגדה של פסח &lt;שירת מרים&gt; - הגדה ממקורה")</f>
        <v>הגדה של פסח &lt;שירת מרים&gt; - הגדה ממקורה</v>
      </c>
      <c r="H91" t="str">
        <f>_xlfn.CONCAT("https://tablet.otzar.org/",CHAR(35),"/book/170024/p/-1/t/1/fs/0/start/0/end/0/c")</f>
        <v>https://tablet.otzar.org/#/book/170024/p/-1/t/1/fs/0/start/0/end/0/c</v>
      </c>
    </row>
    <row r="92" spans="1:8" x14ac:dyDescent="0.25">
      <c r="A92">
        <v>606735</v>
      </c>
      <c r="B92" t="s">
        <v>261</v>
      </c>
      <c r="C92" t="s">
        <v>262</v>
      </c>
      <c r="D92" t="s">
        <v>10</v>
      </c>
      <c r="E92" t="s">
        <v>83</v>
      </c>
      <c r="F92" t="s">
        <v>190</v>
      </c>
      <c r="G92" t="str">
        <f>HYPERLINK(_xlfn.CONCAT("https://tablet.otzar.org/",CHAR(35),"/exKotar/606735"),"הגדה של פסח &lt;מדה כנגד מדה&gt; - 2 כרכים")</f>
        <v>הגדה של פסח &lt;מדה כנגד מדה&gt; - 2 כרכים</v>
      </c>
      <c r="H92" t="str">
        <f>_xlfn.CONCAT("https://tablet.otzar.org/",CHAR(35),"/exKotar/606735")</f>
        <v>https://tablet.otzar.org/#/exKotar/606735</v>
      </c>
    </row>
    <row r="93" spans="1:8" x14ac:dyDescent="0.25">
      <c r="A93">
        <v>638055</v>
      </c>
      <c r="B93" t="s">
        <v>263</v>
      </c>
      <c r="C93" t="s">
        <v>264</v>
      </c>
      <c r="D93" t="s">
        <v>10</v>
      </c>
      <c r="E93" t="s">
        <v>189</v>
      </c>
      <c r="F93" t="s">
        <v>190</v>
      </c>
      <c r="G93" t="str">
        <f>HYPERLINK(_xlfn.CONCAT("https://tablet.otzar.org/",CHAR(35),"/book/638055/p/-1/t/1/fs/0/start/0/end/0/c"),"הגדה של פסח עם באור אור ישרים")</f>
        <v>הגדה של פסח עם באור אור ישרים</v>
      </c>
      <c r="H93" t="str">
        <f>_xlfn.CONCAT("https://tablet.otzar.org/",CHAR(35),"/book/638055/p/-1/t/1/fs/0/start/0/end/0/c")</f>
        <v>https://tablet.otzar.org/#/book/638055/p/-1/t/1/fs/0/start/0/end/0/c</v>
      </c>
    </row>
    <row r="94" spans="1:8" x14ac:dyDescent="0.25">
      <c r="A94">
        <v>622912</v>
      </c>
      <c r="B94" t="s">
        <v>265</v>
      </c>
      <c r="C94" t="s">
        <v>266</v>
      </c>
      <c r="D94" t="s">
        <v>10</v>
      </c>
      <c r="E94" t="s">
        <v>38</v>
      </c>
      <c r="F94" t="s">
        <v>190</v>
      </c>
      <c r="G94" t="str">
        <f>HYPERLINK(_xlfn.CONCAT("https://tablet.otzar.org/",CHAR(35),"/book/622912/p/-1/t/1/fs/0/start/0/end/0/c"),"הגדה של פסח עם ביאור תולדות אדם &lt;מהדורה חדשה&gt;")</f>
        <v>הגדה של פסח עם ביאור תולדות אדם &lt;מהדורה חדשה&gt;</v>
      </c>
      <c r="H94" t="str">
        <f>_xlfn.CONCAT("https://tablet.otzar.org/",CHAR(35),"/book/622912/p/-1/t/1/fs/0/start/0/end/0/c")</f>
        <v>https://tablet.otzar.org/#/book/622912/p/-1/t/1/fs/0/start/0/end/0/c</v>
      </c>
    </row>
    <row r="95" spans="1:8" x14ac:dyDescent="0.25">
      <c r="A95">
        <v>155136</v>
      </c>
      <c r="B95" t="s">
        <v>267</v>
      </c>
      <c r="C95" t="s">
        <v>268</v>
      </c>
      <c r="D95" t="s">
        <v>10</v>
      </c>
      <c r="E95" t="s">
        <v>139</v>
      </c>
      <c r="F95" t="s">
        <v>190</v>
      </c>
      <c r="G95" t="str">
        <f>HYPERLINK(_xlfn.CONCAT("https://tablet.otzar.org/",CHAR(35),"/book/155136/p/-1/t/1/fs/0/start/0/end/0/c"),"הגדה של פסח עם פירוש זבח פסח")</f>
        <v>הגדה של פסח עם פירוש זבח פסח</v>
      </c>
      <c r="H95" t="str">
        <f>_xlfn.CONCAT("https://tablet.otzar.org/",CHAR(35),"/book/155136/p/-1/t/1/fs/0/start/0/end/0/c")</f>
        <v>https://tablet.otzar.org/#/book/155136/p/-1/t/1/fs/0/start/0/end/0/c</v>
      </c>
    </row>
    <row r="96" spans="1:8" x14ac:dyDescent="0.25">
      <c r="A96">
        <v>194402</v>
      </c>
      <c r="B96" t="s">
        <v>269</v>
      </c>
      <c r="C96" t="s">
        <v>270</v>
      </c>
      <c r="D96" t="s">
        <v>10</v>
      </c>
      <c r="E96" t="s">
        <v>57</v>
      </c>
      <c r="F96" t="s">
        <v>190</v>
      </c>
      <c r="G96" t="str">
        <f>HYPERLINK(_xlfn.CONCAT("https://tablet.otzar.org/",CHAR(35),"/book/194402/p/-1/t/1/fs/0/start/0/end/0/c"),"הגדה של פסח עם תורת הראשונים")</f>
        <v>הגדה של פסח עם תורת הראשונים</v>
      </c>
      <c r="H96" t="str">
        <f>_xlfn.CONCAT("https://tablet.otzar.org/",CHAR(35),"/book/194402/p/-1/t/1/fs/0/start/0/end/0/c")</f>
        <v>https://tablet.otzar.org/#/book/194402/p/-1/t/1/fs/0/start/0/end/0/c</v>
      </c>
    </row>
    <row r="97" spans="1:8" x14ac:dyDescent="0.25">
      <c r="A97">
        <v>677781</v>
      </c>
      <c r="B97" t="s">
        <v>271</v>
      </c>
      <c r="C97" t="s">
        <v>129</v>
      </c>
      <c r="D97" t="s">
        <v>10</v>
      </c>
      <c r="E97" t="s">
        <v>244</v>
      </c>
      <c r="F97" t="s">
        <v>190</v>
      </c>
      <c r="G97" t="str">
        <f>HYPERLINK(_xlfn.CONCAT("https://tablet.otzar.org/",CHAR(35),"/book/677781/p/-1/t/1/fs/0/start/0/end/0/c"),"הגדת אור טוביה")</f>
        <v>הגדת אור טוביה</v>
      </c>
      <c r="H97" t="str">
        <f>_xlfn.CONCAT("https://tablet.otzar.org/",CHAR(35),"/book/677781/p/-1/t/1/fs/0/start/0/end/0/c")</f>
        <v>https://tablet.otzar.org/#/book/677781/p/-1/t/1/fs/0/start/0/end/0/c</v>
      </c>
    </row>
    <row r="98" spans="1:8" x14ac:dyDescent="0.25">
      <c r="A98">
        <v>157371</v>
      </c>
      <c r="B98" t="s">
        <v>272</v>
      </c>
      <c r="C98" t="s">
        <v>273</v>
      </c>
      <c r="D98" t="s">
        <v>10</v>
      </c>
      <c r="E98" t="s">
        <v>274</v>
      </c>
      <c r="F98" t="s">
        <v>84</v>
      </c>
      <c r="G98" t="str">
        <f>HYPERLINK(_xlfn.CONCAT("https://tablet.otzar.org/",CHAR(35),"/book/157371/p/-1/t/1/fs/0/start/0/end/0/c"),"הגיוני הלכה")</f>
        <v>הגיוני הלכה</v>
      </c>
      <c r="H98" t="str">
        <f>_xlfn.CONCAT("https://tablet.otzar.org/",CHAR(35),"/book/157371/p/-1/t/1/fs/0/start/0/end/0/c")</f>
        <v>https://tablet.otzar.org/#/book/157371/p/-1/t/1/fs/0/start/0/end/0/c</v>
      </c>
    </row>
    <row r="99" spans="1:8" x14ac:dyDescent="0.25">
      <c r="A99">
        <v>157332</v>
      </c>
      <c r="B99" t="s">
        <v>275</v>
      </c>
      <c r="C99" t="s">
        <v>276</v>
      </c>
      <c r="D99" t="s">
        <v>10</v>
      </c>
      <c r="E99" t="s">
        <v>162</v>
      </c>
      <c r="F99" t="s">
        <v>12</v>
      </c>
      <c r="G99" t="str">
        <f>HYPERLINK(_xlfn.CONCAT("https://tablet.otzar.org/",CHAR(35),"/book/157332/p/-1/t/1/fs/0/start/0/end/0/c"),"הדפוס העברי בקרימונה")</f>
        <v>הדפוס העברי בקרימונה</v>
      </c>
      <c r="H99" t="str">
        <f>_xlfn.CONCAT("https://tablet.otzar.org/",CHAR(35),"/book/157332/p/-1/t/1/fs/0/start/0/end/0/c")</f>
        <v>https://tablet.otzar.org/#/book/157332/p/-1/t/1/fs/0/start/0/end/0/c</v>
      </c>
    </row>
    <row r="100" spans="1:8" x14ac:dyDescent="0.25">
      <c r="A100">
        <v>156296</v>
      </c>
      <c r="B100" t="s">
        <v>277</v>
      </c>
      <c r="C100" t="s">
        <v>278</v>
      </c>
      <c r="D100" t="s">
        <v>10</v>
      </c>
      <c r="E100" t="s">
        <v>279</v>
      </c>
      <c r="F100" t="s">
        <v>31</v>
      </c>
      <c r="G100" t="str">
        <f>HYPERLINK(_xlfn.CONCAT("https://tablet.otzar.org/",CHAR(35),"/book/156296/p/-1/t/1/fs/0/start/0/end/0/c"),"הדקדוק כיסוד בהלכה")</f>
        <v>הדקדוק כיסוד בהלכה</v>
      </c>
      <c r="H100" t="str">
        <f>_xlfn.CONCAT("https://tablet.otzar.org/",CHAR(35),"/book/156296/p/-1/t/1/fs/0/start/0/end/0/c")</f>
        <v>https://tablet.otzar.org/#/book/156296/p/-1/t/1/fs/0/start/0/end/0/c</v>
      </c>
    </row>
    <row r="101" spans="1:8" x14ac:dyDescent="0.25">
      <c r="A101">
        <v>157029</v>
      </c>
      <c r="B101" t="s">
        <v>280</v>
      </c>
      <c r="C101" t="s">
        <v>281</v>
      </c>
      <c r="D101" t="s">
        <v>10</v>
      </c>
      <c r="E101" t="s">
        <v>30</v>
      </c>
      <c r="G101" t="str">
        <f>HYPERLINK(_xlfn.CONCAT("https://tablet.otzar.org/",CHAR(35),"/book/157029/p/-1/t/1/fs/0/start/0/end/0/c"),"הדר איתמר")</f>
        <v>הדר איתמר</v>
      </c>
      <c r="H101" t="str">
        <f>_xlfn.CONCAT("https://tablet.otzar.org/",CHAR(35),"/book/157029/p/-1/t/1/fs/0/start/0/end/0/c")</f>
        <v>https://tablet.otzar.org/#/book/157029/p/-1/t/1/fs/0/start/0/end/0/c</v>
      </c>
    </row>
    <row r="102" spans="1:8" x14ac:dyDescent="0.25">
      <c r="A102">
        <v>677733</v>
      </c>
      <c r="B102" t="s">
        <v>282</v>
      </c>
      <c r="C102" t="s">
        <v>53</v>
      </c>
      <c r="D102" t="s">
        <v>10</v>
      </c>
      <c r="E102" t="s">
        <v>244</v>
      </c>
      <c r="F102" t="s">
        <v>31</v>
      </c>
      <c r="G102" t="str">
        <f>HYPERLINK(_xlfn.CONCAT("https://tablet.otzar.org/",CHAR(35),"/book/677733/p/-1/t/1/fs/0/start/0/end/0/c"),"הדרת אליהו")</f>
        <v>הדרת אליהו</v>
      </c>
      <c r="H102" t="str">
        <f>_xlfn.CONCAT("https://tablet.otzar.org/",CHAR(35),"/book/677733/p/-1/t/1/fs/0/start/0/end/0/c")</f>
        <v>https://tablet.otzar.org/#/book/677733/p/-1/t/1/fs/0/start/0/end/0/c</v>
      </c>
    </row>
    <row r="103" spans="1:8" x14ac:dyDescent="0.25">
      <c r="A103">
        <v>180352</v>
      </c>
      <c r="B103" t="s">
        <v>283</v>
      </c>
      <c r="C103" t="s">
        <v>284</v>
      </c>
      <c r="D103" t="s">
        <v>10</v>
      </c>
      <c r="E103" t="s">
        <v>285</v>
      </c>
      <c r="F103" t="s">
        <v>19</v>
      </c>
      <c r="G103" t="str">
        <f>HYPERLINK(_xlfn.CONCAT("https://tablet.otzar.org/",CHAR(35),"/book/180352/p/-1/t/1/fs/0/start/0/end/0/c"),"הדרת קודש")</f>
        <v>הדרת קודש</v>
      </c>
      <c r="H103" t="str">
        <f>_xlfn.CONCAT("https://tablet.otzar.org/",CHAR(35),"/book/180352/p/-1/t/1/fs/0/start/0/end/0/c")</f>
        <v>https://tablet.otzar.org/#/book/180352/p/-1/t/1/fs/0/start/0/end/0/c</v>
      </c>
    </row>
    <row r="104" spans="1:8" x14ac:dyDescent="0.25">
      <c r="A104">
        <v>197644</v>
      </c>
      <c r="B104" t="s">
        <v>286</v>
      </c>
      <c r="C104" t="s">
        <v>287</v>
      </c>
      <c r="D104" t="s">
        <v>10</v>
      </c>
      <c r="E104" t="s">
        <v>57</v>
      </c>
      <c r="G104" t="str">
        <f>HYPERLINK(_xlfn.CONCAT("https://tablet.otzar.org/",CHAR(35),"/book/197644/p/-1/t/1/fs/0/start/0/end/0/c"),"ההר הטוב")</f>
        <v>ההר הטוב</v>
      </c>
      <c r="H104" t="str">
        <f>_xlfn.CONCAT("https://tablet.otzar.org/",CHAR(35),"/book/197644/p/-1/t/1/fs/0/start/0/end/0/c")</f>
        <v>https://tablet.otzar.org/#/book/197644/p/-1/t/1/fs/0/start/0/end/0/c</v>
      </c>
    </row>
    <row r="105" spans="1:8" x14ac:dyDescent="0.25">
      <c r="A105">
        <v>143520</v>
      </c>
      <c r="B105" t="s">
        <v>288</v>
      </c>
      <c r="C105" t="s">
        <v>105</v>
      </c>
      <c r="D105" t="s">
        <v>10</v>
      </c>
      <c r="E105" t="s">
        <v>103</v>
      </c>
      <c r="F105" t="s">
        <v>12</v>
      </c>
      <c r="G105" t="str">
        <f>HYPERLINK(_xlfn.CONCAT("https://tablet.otzar.org/",CHAR(35),"/book/143520/p/-1/t/1/fs/0/start/0/end/0/c"),"החוזה מלובלין")</f>
        <v>החוזה מלובלין</v>
      </c>
      <c r="H105" t="str">
        <f>_xlfn.CONCAT("https://tablet.otzar.org/",CHAR(35),"/book/143520/p/-1/t/1/fs/0/start/0/end/0/c")</f>
        <v>https://tablet.otzar.org/#/book/143520/p/-1/t/1/fs/0/start/0/end/0/c</v>
      </c>
    </row>
    <row r="106" spans="1:8" x14ac:dyDescent="0.25">
      <c r="A106">
        <v>157052</v>
      </c>
      <c r="B106" t="s">
        <v>289</v>
      </c>
      <c r="C106" t="s">
        <v>290</v>
      </c>
      <c r="D106" t="s">
        <v>10</v>
      </c>
      <c r="E106" t="s">
        <v>291</v>
      </c>
      <c r="F106" t="s">
        <v>292</v>
      </c>
      <c r="G106" t="str">
        <f>HYPERLINK(_xlfn.CONCAT("https://tablet.otzar.org/",CHAR(35),"/book/157052/p/-1/t/1/fs/0/start/0/end/0/c"),"הירושלמי המפורש - ברכות")</f>
        <v>הירושלמי המפורש - ברכות</v>
      </c>
      <c r="H106" t="str">
        <f>_xlfn.CONCAT("https://tablet.otzar.org/",CHAR(35),"/book/157052/p/-1/t/1/fs/0/start/0/end/0/c")</f>
        <v>https://tablet.otzar.org/#/book/157052/p/-1/t/1/fs/0/start/0/end/0/c</v>
      </c>
    </row>
    <row r="107" spans="1:8" x14ac:dyDescent="0.25">
      <c r="A107">
        <v>155122</v>
      </c>
      <c r="B107" t="s">
        <v>293</v>
      </c>
      <c r="C107" t="s">
        <v>294</v>
      </c>
      <c r="D107" t="s">
        <v>10</v>
      </c>
      <c r="E107" t="s">
        <v>295</v>
      </c>
      <c r="F107" t="s">
        <v>186</v>
      </c>
      <c r="G107" t="str">
        <f>HYPERLINK(_xlfn.CONCAT("https://tablet.otzar.org/",CHAR(35),"/book/155122/p/-1/t/1/fs/0/start/0/end/0/c"),"הכוזרי השני מטה דן")</f>
        <v>הכוזרי השני מטה דן</v>
      </c>
      <c r="H107" t="str">
        <f>_xlfn.CONCAT("https://tablet.otzar.org/",CHAR(35),"/book/155122/p/-1/t/1/fs/0/start/0/end/0/c")</f>
        <v>https://tablet.otzar.org/#/book/155122/p/-1/t/1/fs/0/start/0/end/0/c</v>
      </c>
    </row>
    <row r="108" spans="1:8" x14ac:dyDescent="0.25">
      <c r="A108">
        <v>194423</v>
      </c>
      <c r="B108" t="s">
        <v>296</v>
      </c>
      <c r="C108" t="s">
        <v>297</v>
      </c>
      <c r="D108" t="s">
        <v>10</v>
      </c>
      <c r="E108" t="s">
        <v>57</v>
      </c>
      <c r="F108" t="s">
        <v>19</v>
      </c>
      <c r="G108" t="str">
        <f>HYPERLINK(_xlfn.CONCAT("https://tablet.otzar.org/",CHAR(35),"/exKotar/194423"),"הכתב והקבלה &lt;מוה""""ק&gt;  - 2 כרכים")</f>
        <v>הכתב והקבלה &lt;מוה""ק&gt;  - 2 כרכים</v>
      </c>
      <c r="H108" t="str">
        <f>_xlfn.CONCAT("https://tablet.otzar.org/",CHAR(35),"/exKotar/194423")</f>
        <v>https://tablet.otzar.org/#/exKotar/194423</v>
      </c>
    </row>
    <row r="109" spans="1:8" x14ac:dyDescent="0.25">
      <c r="A109">
        <v>157067</v>
      </c>
      <c r="B109" t="s">
        <v>298</v>
      </c>
      <c r="C109" t="s">
        <v>299</v>
      </c>
      <c r="D109" t="s">
        <v>10</v>
      </c>
      <c r="E109" t="s">
        <v>300</v>
      </c>
      <c r="G109" t="str">
        <f>HYPERLINK(_xlfn.CONCAT("https://tablet.otzar.org/",CHAR(35),"/book/157067/p/-1/t/1/fs/0/start/0/end/0/c"),"הליכות שבא")</f>
        <v>הליכות שבא</v>
      </c>
      <c r="H109" t="str">
        <f>_xlfn.CONCAT("https://tablet.otzar.org/",CHAR(35),"/book/157067/p/-1/t/1/fs/0/start/0/end/0/c")</f>
        <v>https://tablet.otzar.org/#/book/157067/p/-1/t/1/fs/0/start/0/end/0/c</v>
      </c>
    </row>
    <row r="110" spans="1:8" x14ac:dyDescent="0.25">
      <c r="A110">
        <v>170053</v>
      </c>
      <c r="B110" t="s">
        <v>301</v>
      </c>
      <c r="C110" t="s">
        <v>260</v>
      </c>
      <c r="D110" t="s">
        <v>10</v>
      </c>
      <c r="E110" t="s">
        <v>238</v>
      </c>
      <c r="F110" t="s">
        <v>190</v>
      </c>
      <c r="G110" t="str">
        <f>HYPERLINK(_xlfn.CONCAT("https://tablet.otzar.org/",CHAR(35),"/book/170053/p/-1/t/1/fs/0/start/0/end/0/c"),"הלכה ממקורה")</f>
        <v>הלכה ממקורה</v>
      </c>
      <c r="H110" t="str">
        <f>_xlfn.CONCAT("https://tablet.otzar.org/",CHAR(35),"/book/170053/p/-1/t/1/fs/0/start/0/end/0/c")</f>
        <v>https://tablet.otzar.org/#/book/170053/p/-1/t/1/fs/0/start/0/end/0/c</v>
      </c>
    </row>
    <row r="111" spans="1:8" x14ac:dyDescent="0.25">
      <c r="A111">
        <v>677782</v>
      </c>
      <c r="B111" t="s">
        <v>302</v>
      </c>
      <c r="C111" t="s">
        <v>303</v>
      </c>
      <c r="D111" t="s">
        <v>10</v>
      </c>
      <c r="E111" t="s">
        <v>244</v>
      </c>
      <c r="F111" t="s">
        <v>23</v>
      </c>
      <c r="G111" t="str">
        <f>HYPERLINK(_xlfn.CONCAT("https://tablet.otzar.org/",CHAR(35),"/exKotar/677782"),"הלכות גדולות &lt;מוה""""ק&gt; - 2 כרכים")</f>
        <v>הלכות גדולות &lt;מוה""ק&gt; - 2 כרכים</v>
      </c>
      <c r="H111" t="str">
        <f>_xlfn.CONCAT("https://tablet.otzar.org/",CHAR(35),"/exKotar/677782")</f>
        <v>https://tablet.otzar.org/#/exKotar/677782</v>
      </c>
    </row>
    <row r="112" spans="1:8" x14ac:dyDescent="0.25">
      <c r="A112">
        <v>164116</v>
      </c>
      <c r="B112" t="s">
        <v>304</v>
      </c>
      <c r="C112" t="s">
        <v>305</v>
      </c>
      <c r="D112" t="s">
        <v>10</v>
      </c>
      <c r="E112" t="s">
        <v>71</v>
      </c>
      <c r="F112" t="s">
        <v>169</v>
      </c>
      <c r="G112" t="str">
        <f>HYPERLINK(_xlfn.CONCAT("https://tablet.otzar.org/",CHAR(35),"/book/164116/p/-1/t/1/fs/0/start/0/end/0/c"),"הלכות והליכות בחסידות")</f>
        <v>הלכות והליכות בחסידות</v>
      </c>
      <c r="H112" t="str">
        <f>_xlfn.CONCAT("https://tablet.otzar.org/",CHAR(35),"/book/164116/p/-1/t/1/fs/0/start/0/end/0/c")</f>
        <v>https://tablet.otzar.org/#/book/164116/p/-1/t/1/fs/0/start/0/end/0/c</v>
      </c>
    </row>
    <row r="113" spans="1:8" x14ac:dyDescent="0.25">
      <c r="A113">
        <v>606726</v>
      </c>
      <c r="B113" t="s">
        <v>306</v>
      </c>
      <c r="C113" t="s">
        <v>307</v>
      </c>
      <c r="D113" t="s">
        <v>10</v>
      </c>
      <c r="E113" t="s">
        <v>127</v>
      </c>
      <c r="F113" t="s">
        <v>72</v>
      </c>
      <c r="G113" t="str">
        <f>HYPERLINK(_xlfn.CONCAT("https://tablet.otzar.org/",CHAR(35),"/exKotar/606726"),"הלכות פסוקות השלם - 4 כרכים")</f>
        <v>הלכות פסוקות השלם - 4 כרכים</v>
      </c>
      <c r="H113" t="str">
        <f>_xlfn.CONCAT("https://tablet.otzar.org/",CHAR(35),"/exKotar/606726")</f>
        <v>https://tablet.otzar.org/#/exKotar/606726</v>
      </c>
    </row>
    <row r="114" spans="1:8" x14ac:dyDescent="0.25">
      <c r="A114">
        <v>180351</v>
      </c>
      <c r="B114" t="s">
        <v>308</v>
      </c>
      <c r="C114" t="s">
        <v>308</v>
      </c>
      <c r="D114" t="s">
        <v>10</v>
      </c>
      <c r="E114" t="s">
        <v>285</v>
      </c>
      <c r="F114" t="s">
        <v>72</v>
      </c>
      <c r="G114" t="str">
        <f>HYPERLINK(_xlfn.CONCAT("https://tablet.otzar.org/",CHAR(35),"/book/180351/p/-1/t/1/fs/0/start/0/end/0/c"),"הלכות פסוקות מן הגניזה")</f>
        <v>הלכות פסוקות מן הגניזה</v>
      </c>
      <c r="H114" t="str">
        <f>_xlfn.CONCAT("https://tablet.otzar.org/",CHAR(35),"/book/180351/p/-1/t/1/fs/0/start/0/end/0/c")</f>
        <v>https://tablet.otzar.org/#/book/180351/p/-1/t/1/fs/0/start/0/end/0/c</v>
      </c>
    </row>
    <row r="115" spans="1:8" x14ac:dyDescent="0.25">
      <c r="A115">
        <v>158969</v>
      </c>
      <c r="B115" t="s">
        <v>309</v>
      </c>
      <c r="C115" t="s">
        <v>310</v>
      </c>
      <c r="D115" t="s">
        <v>10</v>
      </c>
      <c r="E115" t="s">
        <v>89</v>
      </c>
      <c r="F115" t="s">
        <v>97</v>
      </c>
      <c r="G115" t="str">
        <f>HYPERLINK(_xlfn.CONCAT("https://tablet.otzar.org/",CHAR(35),"/book/158969/p/-1/t/1/fs/0/start/0/end/0/c"),"הלכות רב אלפס - מסכת עבודה זרה")</f>
        <v>הלכות רב אלפס - מסכת עבודה זרה</v>
      </c>
      <c r="H115" t="str">
        <f>_xlfn.CONCAT("https://tablet.otzar.org/",CHAR(35),"/book/158969/p/-1/t/1/fs/0/start/0/end/0/c")</f>
        <v>https://tablet.otzar.org/#/book/158969/p/-1/t/1/fs/0/start/0/end/0/c</v>
      </c>
    </row>
    <row r="116" spans="1:8" x14ac:dyDescent="0.25">
      <c r="A116">
        <v>156332</v>
      </c>
      <c r="B116" t="s">
        <v>311</v>
      </c>
      <c r="C116" t="s">
        <v>310</v>
      </c>
      <c r="D116" t="s">
        <v>10</v>
      </c>
      <c r="E116" t="s">
        <v>47</v>
      </c>
      <c r="F116" t="s">
        <v>72</v>
      </c>
      <c r="G116" t="str">
        <f>HYPERLINK(_xlfn.CONCAT("https://tablet.otzar.org/",CHAR(35),"/exKotar/156332"),"הלכות רב אלפס &lt;מוה""""ק&gt;  - 3 כרכים")</f>
        <v>הלכות רב אלפס &lt;מוה""ק&gt;  - 3 כרכים</v>
      </c>
      <c r="H116" t="str">
        <f>_xlfn.CONCAT("https://tablet.otzar.org/",CHAR(35),"/exKotar/156332")</f>
        <v>https://tablet.otzar.org/#/exKotar/156332</v>
      </c>
    </row>
    <row r="117" spans="1:8" x14ac:dyDescent="0.25">
      <c r="A117">
        <v>155121</v>
      </c>
      <c r="B117" t="s">
        <v>312</v>
      </c>
      <c r="C117" t="s">
        <v>313</v>
      </c>
      <c r="D117" t="s">
        <v>10</v>
      </c>
      <c r="E117" t="s">
        <v>151</v>
      </c>
      <c r="F117" t="s">
        <v>23</v>
      </c>
      <c r="G117" t="str">
        <f>HYPERLINK(_xlfn.CONCAT("https://tablet.otzar.org/",CHAR(35),"/book/155121/p/-1/t/1/fs/0/start/0/end/0/c"),"הלכות רופאים ורפואה")</f>
        <v>הלכות רופאים ורפואה</v>
      </c>
      <c r="H117" t="str">
        <f>_xlfn.CONCAT("https://tablet.otzar.org/",CHAR(35),"/book/155121/p/-1/t/1/fs/0/start/0/end/0/c")</f>
        <v>https://tablet.otzar.org/#/book/155121/p/-1/t/1/fs/0/start/0/end/0/c</v>
      </c>
    </row>
    <row r="118" spans="1:8" x14ac:dyDescent="0.25">
      <c r="A118">
        <v>180350</v>
      </c>
      <c r="B118" t="s">
        <v>314</v>
      </c>
      <c r="C118" t="s">
        <v>315</v>
      </c>
      <c r="D118" t="s">
        <v>10</v>
      </c>
      <c r="E118" t="s">
        <v>285</v>
      </c>
      <c r="F118" t="s">
        <v>72</v>
      </c>
      <c r="G118" t="str">
        <f>HYPERLINK(_xlfn.CONCAT("https://tablet.otzar.org/",CHAR(35),"/book/180350/p/-1/t/1/fs/0/start/0/end/0/c"),"הלכות תפילה")</f>
        <v>הלכות תפילה</v>
      </c>
      <c r="H118" t="str">
        <f>_xlfn.CONCAT("https://tablet.otzar.org/",CHAR(35),"/book/180350/p/-1/t/1/fs/0/start/0/end/0/c")</f>
        <v>https://tablet.otzar.org/#/book/180350/p/-1/t/1/fs/0/start/0/end/0/c</v>
      </c>
    </row>
    <row r="119" spans="1:8" x14ac:dyDescent="0.25">
      <c r="A119">
        <v>601569</v>
      </c>
      <c r="B119" t="s">
        <v>316</v>
      </c>
      <c r="C119" t="s">
        <v>317</v>
      </c>
      <c r="D119" t="s">
        <v>10</v>
      </c>
      <c r="E119" t="s">
        <v>127</v>
      </c>
      <c r="F119" t="s">
        <v>72</v>
      </c>
      <c r="G119" t="str">
        <f>HYPERLINK(_xlfn.CONCAT("https://tablet.otzar.org/",CHAR(35),"/book/601569/p/-1/t/1/fs/0/start/0/end/0/c"),"הלכות תשובה לרמב""""ם &lt;מוה""""ק&gt;")</f>
        <v>הלכות תשובה לרמב""ם &lt;מוה""ק&gt;</v>
      </c>
      <c r="H119" t="str">
        <f>_xlfn.CONCAT("https://tablet.otzar.org/",CHAR(35),"/book/601569/p/-1/t/1/fs/0/start/0/end/0/c")</f>
        <v>https://tablet.otzar.org/#/book/601569/p/-1/t/1/fs/0/start/0/end/0/c</v>
      </c>
    </row>
    <row r="120" spans="1:8" x14ac:dyDescent="0.25">
      <c r="A120">
        <v>622913</v>
      </c>
      <c r="B120" t="s">
        <v>318</v>
      </c>
      <c r="C120" t="s">
        <v>319</v>
      </c>
      <c r="D120" t="s">
        <v>10</v>
      </c>
      <c r="E120" t="s">
        <v>38</v>
      </c>
      <c r="F120" t="s">
        <v>19</v>
      </c>
      <c r="G120" t="str">
        <f>HYPERLINK(_xlfn.CONCAT("https://tablet.otzar.org/",CHAR(35),"/book/622913/p/-1/t/1/fs/0/start/0/end/0/c"),"המדרש לאור השפת אמת הפרי צדיק והשם משמואל")</f>
        <v>המדרש לאור השפת אמת הפרי צדיק והשם משמואל</v>
      </c>
      <c r="H120" t="str">
        <f>_xlfn.CONCAT("https://tablet.otzar.org/",CHAR(35),"/book/622913/p/-1/t/1/fs/0/start/0/end/0/c")</f>
        <v>https://tablet.otzar.org/#/book/622913/p/-1/t/1/fs/0/start/0/end/0/c</v>
      </c>
    </row>
    <row r="121" spans="1:8" x14ac:dyDescent="0.25">
      <c r="A121">
        <v>170021</v>
      </c>
      <c r="B121" t="s">
        <v>320</v>
      </c>
      <c r="C121" t="s">
        <v>321</v>
      </c>
      <c r="D121" t="s">
        <v>10</v>
      </c>
      <c r="E121" t="s">
        <v>238</v>
      </c>
      <c r="F121" t="s">
        <v>229</v>
      </c>
      <c r="G121" t="str">
        <f>HYPERLINK(_xlfn.CONCAT("https://tablet.otzar.org/",CHAR(35),"/book/170021/p/-1/t/1/fs/0/start/0/end/0/c"),"המית הלב")</f>
        <v>המית הלב</v>
      </c>
      <c r="H121" t="str">
        <f>_xlfn.CONCAT("https://tablet.otzar.org/",CHAR(35),"/book/170021/p/-1/t/1/fs/0/start/0/end/0/c")</f>
        <v>https://tablet.otzar.org/#/book/170021/p/-1/t/1/fs/0/start/0/end/0/c</v>
      </c>
    </row>
    <row r="122" spans="1:8" x14ac:dyDescent="0.25">
      <c r="A122">
        <v>156197</v>
      </c>
      <c r="B122" t="s">
        <v>322</v>
      </c>
      <c r="C122" t="s">
        <v>323</v>
      </c>
      <c r="D122" t="s">
        <v>10</v>
      </c>
      <c r="E122" t="s">
        <v>177</v>
      </c>
      <c r="F122" t="s">
        <v>12</v>
      </c>
      <c r="G122" t="str">
        <f>HYPERLINK(_xlfn.CONCAT("https://tablet.otzar.org/",CHAR(35),"/book/156197/p/-1/t/1/fs/0/start/0/end/0/c"),"המלבי""""ם")</f>
        <v>המלבי""ם</v>
      </c>
      <c r="H122" t="str">
        <f>_xlfn.CONCAT("https://tablet.otzar.org/",CHAR(35),"/book/156197/p/-1/t/1/fs/0/start/0/end/0/c")</f>
        <v>https://tablet.otzar.org/#/book/156197/p/-1/t/1/fs/0/start/0/end/0/c</v>
      </c>
    </row>
    <row r="123" spans="1:8" x14ac:dyDescent="0.25">
      <c r="A123">
        <v>155582</v>
      </c>
      <c r="B123" t="s">
        <v>324</v>
      </c>
      <c r="C123" t="s">
        <v>25</v>
      </c>
      <c r="D123" t="s">
        <v>10</v>
      </c>
      <c r="E123" t="s">
        <v>50</v>
      </c>
      <c r="F123" t="s">
        <v>72</v>
      </c>
      <c r="G123" t="str">
        <f>HYPERLINK(_xlfn.CONCAT("https://tablet.otzar.org/",CHAR(35),"/book/155582/p/-1/t/1/fs/0/start/0/end/0/c"),"המצוות כסמלים")</f>
        <v>המצוות כסמלים</v>
      </c>
      <c r="H123" t="str">
        <f>_xlfn.CONCAT("https://tablet.otzar.org/",CHAR(35),"/book/155582/p/-1/t/1/fs/0/start/0/end/0/c")</f>
        <v>https://tablet.otzar.org/#/book/155582/p/-1/t/1/fs/0/start/0/end/0/c</v>
      </c>
    </row>
    <row r="124" spans="1:8" x14ac:dyDescent="0.25">
      <c r="A124">
        <v>155544</v>
      </c>
      <c r="B124" t="s">
        <v>325</v>
      </c>
      <c r="C124" t="s">
        <v>326</v>
      </c>
      <c r="D124" t="s">
        <v>10</v>
      </c>
      <c r="E124" t="s">
        <v>327</v>
      </c>
      <c r="F124" t="s">
        <v>72</v>
      </c>
      <c r="G124" t="str">
        <f>HYPERLINK(_xlfn.CONCAT("https://tablet.otzar.org/",CHAR(35),"/exKotar/155544"),"המצפה על הרמב""""ם - 3 כרכים")</f>
        <v>המצפה על הרמב""ם - 3 כרכים</v>
      </c>
      <c r="H124" t="str">
        <f>_xlfn.CONCAT("https://tablet.otzar.org/",CHAR(35),"/exKotar/155544")</f>
        <v>https://tablet.otzar.org/#/exKotar/155544</v>
      </c>
    </row>
    <row r="125" spans="1:8" x14ac:dyDescent="0.25">
      <c r="A125">
        <v>155132</v>
      </c>
      <c r="B125" t="s">
        <v>328</v>
      </c>
      <c r="C125" t="s">
        <v>329</v>
      </c>
      <c r="D125" t="s">
        <v>10</v>
      </c>
      <c r="E125" t="s">
        <v>274</v>
      </c>
      <c r="F125" t="s">
        <v>330</v>
      </c>
      <c r="G125" t="str">
        <f>HYPERLINK(_xlfn.CONCAT("https://tablet.otzar.org/",CHAR(35),"/book/155132/p/-1/t/1/fs/0/start/0/end/0/c"),"המקרא והמסורה")</f>
        <v>המקרא והמסורה</v>
      </c>
      <c r="H125" t="str">
        <f>_xlfn.CONCAT("https://tablet.otzar.org/",CHAR(35),"/book/155132/p/-1/t/1/fs/0/start/0/end/0/c")</f>
        <v>https://tablet.otzar.org/#/book/155132/p/-1/t/1/fs/0/start/0/end/0/c</v>
      </c>
    </row>
    <row r="126" spans="1:8" x14ac:dyDescent="0.25">
      <c r="A126">
        <v>157333</v>
      </c>
      <c r="B126" t="s">
        <v>331</v>
      </c>
      <c r="C126" t="s">
        <v>276</v>
      </c>
      <c r="D126" t="s">
        <v>10</v>
      </c>
      <c r="E126" t="s">
        <v>162</v>
      </c>
      <c r="F126" t="s">
        <v>12</v>
      </c>
      <c r="G126" t="str">
        <f>HYPERLINK(_xlfn.CONCAT("https://tablet.otzar.org/",CHAR(35),"/book/157333/p/-1/t/1/fs/0/start/0/end/0/c"),"הסכמה ורשות בדפוסי ויניציאה")</f>
        <v>הסכמה ורשות בדפוסי ויניציאה</v>
      </c>
      <c r="H126" t="str">
        <f>_xlfn.CONCAT("https://tablet.otzar.org/",CHAR(35),"/book/157333/p/-1/t/1/fs/0/start/0/end/0/c")</f>
        <v>https://tablet.otzar.org/#/book/157333/p/-1/t/1/fs/0/start/0/end/0/c</v>
      </c>
    </row>
    <row r="127" spans="1:8" x14ac:dyDescent="0.25">
      <c r="A127">
        <v>155244</v>
      </c>
      <c r="B127" t="s">
        <v>332</v>
      </c>
      <c r="C127" t="s">
        <v>333</v>
      </c>
      <c r="D127" t="s">
        <v>10</v>
      </c>
      <c r="E127" t="s">
        <v>41</v>
      </c>
      <c r="F127" t="s">
        <v>120</v>
      </c>
      <c r="G127" t="str">
        <f>HYPERLINK(_xlfn.CONCAT("https://tablet.otzar.org/",CHAR(35),"/exKotar/155244"),"הספר - 2 כרכים")</f>
        <v>הספר - 2 כרכים</v>
      </c>
      <c r="H127" t="str">
        <f>_xlfn.CONCAT("https://tablet.otzar.org/",CHAR(35),"/exKotar/155244")</f>
        <v>https://tablet.otzar.org/#/exKotar/155244</v>
      </c>
    </row>
    <row r="128" spans="1:8" x14ac:dyDescent="0.25">
      <c r="A128">
        <v>157019</v>
      </c>
      <c r="B128" t="s">
        <v>334</v>
      </c>
      <c r="C128" t="s">
        <v>335</v>
      </c>
      <c r="D128" t="s">
        <v>10</v>
      </c>
      <c r="E128" t="s">
        <v>336</v>
      </c>
      <c r="F128" t="s">
        <v>152</v>
      </c>
      <c r="G128" t="str">
        <f>HYPERLINK(_xlfn.CONCAT("https://tablet.otzar.org/",CHAR(35),"/book/157019/p/-1/t/1/fs/0/start/0/end/0/c"),"הערוך &lt;יקר הערך&gt; - שבת")</f>
        <v>הערוך &lt;יקר הערך&gt; - שבת</v>
      </c>
      <c r="H128" t="str">
        <f>_xlfn.CONCAT("https://tablet.otzar.org/",CHAR(35),"/book/157019/p/-1/t/1/fs/0/start/0/end/0/c")</f>
        <v>https://tablet.otzar.org/#/book/157019/p/-1/t/1/fs/0/start/0/end/0/c</v>
      </c>
    </row>
    <row r="129" spans="1:8" x14ac:dyDescent="0.25">
      <c r="A129">
        <v>157000</v>
      </c>
      <c r="B129" t="s">
        <v>337</v>
      </c>
      <c r="C129" t="s">
        <v>338</v>
      </c>
      <c r="D129" t="s">
        <v>10</v>
      </c>
      <c r="E129" t="s">
        <v>279</v>
      </c>
      <c r="F129" t="s">
        <v>120</v>
      </c>
      <c r="G129" t="str">
        <f>HYPERLINK(_xlfn.CONCAT("https://tablet.otzar.org/",CHAR(35),"/book/157000/p/-1/t/1/fs/0/start/0/end/0/c"),"הקהל")</f>
        <v>הקהל</v>
      </c>
      <c r="H129" t="str">
        <f>_xlfn.CONCAT("https://tablet.otzar.org/",CHAR(35),"/book/157000/p/-1/t/1/fs/0/start/0/end/0/c")</f>
        <v>https://tablet.otzar.org/#/book/157000/p/-1/t/1/fs/0/start/0/end/0/c</v>
      </c>
    </row>
    <row r="130" spans="1:8" x14ac:dyDescent="0.25">
      <c r="A130">
        <v>155177</v>
      </c>
      <c r="B130" t="s">
        <v>339</v>
      </c>
      <c r="C130" t="s">
        <v>340</v>
      </c>
      <c r="D130" t="s">
        <v>10</v>
      </c>
      <c r="E130" t="s">
        <v>106</v>
      </c>
      <c r="F130" t="s">
        <v>12</v>
      </c>
      <c r="G130" t="str">
        <f>HYPERLINK(_xlfn.CONCAT("https://tablet.otzar.org/",CHAR(35),"/book/155177/p/-1/t/1/fs/0/start/0/end/0/c"),"הרא""""ש - רבנו אשר ב""""ר יחיאל וצאצאיו")</f>
        <v>הרא""ש - רבנו אשר ב""ר יחיאל וצאצאיו</v>
      </c>
      <c r="H130" t="str">
        <f>_xlfn.CONCAT("https://tablet.otzar.org/",CHAR(35),"/book/155177/p/-1/t/1/fs/0/start/0/end/0/c")</f>
        <v>https://tablet.otzar.org/#/book/155177/p/-1/t/1/fs/0/start/0/end/0/c</v>
      </c>
    </row>
    <row r="131" spans="1:8" x14ac:dyDescent="0.25">
      <c r="A131">
        <v>180347</v>
      </c>
      <c r="B131" t="s">
        <v>341</v>
      </c>
      <c r="C131" t="s">
        <v>105</v>
      </c>
      <c r="D131" t="s">
        <v>10</v>
      </c>
      <c r="E131" t="s">
        <v>64</v>
      </c>
      <c r="F131" t="s">
        <v>12</v>
      </c>
      <c r="G131" t="str">
        <f>HYPERLINK(_xlfn.CONCAT("https://tablet.otzar.org/",CHAR(35),"/book/180347/p/-1/t/1/fs/0/start/0/end/0/c"),"הרבי מקוצק")</f>
        <v>הרבי מקוצק</v>
      </c>
      <c r="H131" t="str">
        <f>_xlfn.CONCAT("https://tablet.otzar.org/",CHAR(35),"/book/180347/p/-1/t/1/fs/0/start/0/end/0/c")</f>
        <v>https://tablet.otzar.org/#/book/180347/p/-1/t/1/fs/0/start/0/end/0/c</v>
      </c>
    </row>
    <row r="132" spans="1:8" x14ac:dyDescent="0.25">
      <c r="A132">
        <v>638035</v>
      </c>
      <c r="B132" t="s">
        <v>342</v>
      </c>
      <c r="C132" t="s">
        <v>343</v>
      </c>
      <c r="D132" t="s">
        <v>10</v>
      </c>
      <c r="E132" t="s">
        <v>189</v>
      </c>
      <c r="G132" t="str">
        <f>HYPERLINK(_xlfn.CONCAT("https://tablet.otzar.org/",CHAR(35),"/book/638035/p/-1/t/1/fs/0/start/0/end/0/c"),"השומר גופי אנכי")</f>
        <v>השומר גופי אנכי</v>
      </c>
      <c r="H132" t="str">
        <f>_xlfn.CONCAT("https://tablet.otzar.org/",CHAR(35),"/book/638035/p/-1/t/1/fs/0/start/0/end/0/c")</f>
        <v>https://tablet.otzar.org/#/book/638035/p/-1/t/1/fs/0/start/0/end/0/c</v>
      </c>
    </row>
    <row r="133" spans="1:8" x14ac:dyDescent="0.25">
      <c r="A133">
        <v>155264</v>
      </c>
      <c r="B133" t="s">
        <v>344</v>
      </c>
      <c r="C133" t="s">
        <v>115</v>
      </c>
      <c r="D133" t="s">
        <v>10</v>
      </c>
      <c r="E133" t="s">
        <v>78</v>
      </c>
      <c r="F133" t="s">
        <v>72</v>
      </c>
      <c r="G133" t="str">
        <f>HYPERLINK(_xlfn.CONCAT("https://tablet.otzar.org/",CHAR(35),"/exKotar/155264"),"התקנות בישראל - 4 כרכים")</f>
        <v>התקנות בישראל - 4 כרכים</v>
      </c>
      <c r="H133" t="str">
        <f>_xlfn.CONCAT("https://tablet.otzar.org/",CHAR(35),"/exKotar/155264")</f>
        <v>https://tablet.otzar.org/#/exKotar/155264</v>
      </c>
    </row>
    <row r="134" spans="1:8" x14ac:dyDescent="0.25">
      <c r="A134">
        <v>622885</v>
      </c>
      <c r="B134" t="s">
        <v>345</v>
      </c>
      <c r="C134" t="s">
        <v>346</v>
      </c>
      <c r="D134" t="s">
        <v>10</v>
      </c>
      <c r="E134" t="s">
        <v>38</v>
      </c>
      <c r="F134" t="s">
        <v>31</v>
      </c>
      <c r="G134" t="str">
        <f>HYPERLINK(_xlfn.CONCAT("https://tablet.otzar.org/",CHAR(35),"/book/622885/p/-1/t/1/fs/0/start/0/end/0/c"),"ופקדת נוך")</f>
        <v>ופקדת נוך</v>
      </c>
      <c r="H134" t="str">
        <f>_xlfn.CONCAT("https://tablet.otzar.org/",CHAR(35),"/book/622885/p/-1/t/1/fs/0/start/0/end/0/c")</f>
        <v>https://tablet.otzar.org/#/book/622885/p/-1/t/1/fs/0/start/0/end/0/c</v>
      </c>
    </row>
    <row r="135" spans="1:8" x14ac:dyDescent="0.25">
      <c r="A135">
        <v>154973</v>
      </c>
      <c r="B135" t="s">
        <v>347</v>
      </c>
      <c r="C135" t="s">
        <v>74</v>
      </c>
      <c r="D135" t="s">
        <v>10</v>
      </c>
      <c r="E135" t="s">
        <v>75</v>
      </c>
      <c r="F135" t="s">
        <v>152</v>
      </c>
      <c r="G135" t="str">
        <f>HYPERLINK(_xlfn.CONCAT("https://tablet.otzar.org/",CHAR(35),"/book/154973/p/-1/t/1/fs/0/start/0/end/0/c"),"זבחי ראיה")</f>
        <v>זבחי ראיה</v>
      </c>
      <c r="H135" t="str">
        <f>_xlfn.CONCAT("https://tablet.otzar.org/",CHAR(35),"/book/154973/p/-1/t/1/fs/0/start/0/end/0/c")</f>
        <v>https://tablet.otzar.org/#/book/154973/p/-1/t/1/fs/0/start/0/end/0/c</v>
      </c>
    </row>
    <row r="136" spans="1:8" x14ac:dyDescent="0.25">
      <c r="A136">
        <v>155104</v>
      </c>
      <c r="B136" t="s">
        <v>348</v>
      </c>
      <c r="C136" t="s">
        <v>349</v>
      </c>
      <c r="D136" t="s">
        <v>10</v>
      </c>
      <c r="E136" t="s">
        <v>41</v>
      </c>
      <c r="F136" t="s">
        <v>350</v>
      </c>
      <c r="G136" t="str">
        <f>HYPERLINK(_xlfn.CONCAT("https://tablet.otzar.org/",CHAR(35),"/book/155104/p/-1/t/1/fs/0/start/0/end/0/c"),"זהר חדש עם ניצוצי זהר")</f>
        <v>זהר חדש עם ניצוצי זהר</v>
      </c>
      <c r="H136" t="str">
        <f>_xlfn.CONCAT("https://tablet.otzar.org/",CHAR(35),"/book/155104/p/-1/t/1/fs/0/start/0/end/0/c")</f>
        <v>https://tablet.otzar.org/#/book/155104/p/-1/t/1/fs/0/start/0/end/0/c</v>
      </c>
    </row>
    <row r="137" spans="1:8" x14ac:dyDescent="0.25">
      <c r="A137">
        <v>157012</v>
      </c>
      <c r="B137" t="s">
        <v>351</v>
      </c>
      <c r="C137" t="s">
        <v>352</v>
      </c>
      <c r="D137" t="s">
        <v>10</v>
      </c>
      <c r="E137" t="s">
        <v>144</v>
      </c>
      <c r="G137" t="str">
        <f>HYPERLINK(_xlfn.CONCAT("https://tablet.otzar.org/",CHAR(35),"/book/157012/p/-1/t/1/fs/0/start/0/end/0/c"),"זכרון יעקב")</f>
        <v>זכרון יעקב</v>
      </c>
      <c r="H137" t="str">
        <f>_xlfn.CONCAT("https://tablet.otzar.org/",CHAR(35),"/book/157012/p/-1/t/1/fs/0/start/0/end/0/c")</f>
        <v>https://tablet.otzar.org/#/book/157012/p/-1/t/1/fs/0/start/0/end/0/c</v>
      </c>
    </row>
    <row r="138" spans="1:8" x14ac:dyDescent="0.25">
      <c r="A138">
        <v>156320</v>
      </c>
      <c r="B138" t="s">
        <v>353</v>
      </c>
      <c r="C138" t="s">
        <v>354</v>
      </c>
      <c r="D138" t="s">
        <v>10</v>
      </c>
      <c r="E138" t="s">
        <v>279</v>
      </c>
      <c r="F138" t="s">
        <v>51</v>
      </c>
      <c r="G138" t="str">
        <f>HYPERLINK(_xlfn.CONCAT("https://tablet.otzar.org/",CHAR(35),"/book/156320/p/-1/t/1/fs/0/start/0/end/0/c"),"זכרון צבי")</f>
        <v>זכרון צבי</v>
      </c>
      <c r="H138" t="str">
        <f>_xlfn.CONCAT("https://tablet.otzar.org/",CHAR(35),"/book/156320/p/-1/t/1/fs/0/start/0/end/0/c")</f>
        <v>https://tablet.otzar.org/#/book/156320/p/-1/t/1/fs/0/start/0/end/0/c</v>
      </c>
    </row>
    <row r="139" spans="1:8" x14ac:dyDescent="0.25">
      <c r="A139">
        <v>155241</v>
      </c>
      <c r="B139" t="s">
        <v>355</v>
      </c>
      <c r="C139" t="s">
        <v>356</v>
      </c>
      <c r="D139" t="s">
        <v>10</v>
      </c>
      <c r="E139" t="s">
        <v>251</v>
      </c>
      <c r="F139" t="s">
        <v>31</v>
      </c>
      <c r="G139" t="str">
        <f>HYPERLINK(_xlfn.CONCAT("https://tablet.otzar.org/",CHAR(35),"/exKotar/155241"),"זמרת יהודה - 2 כרכים")</f>
        <v>זמרת יהודה - 2 כרכים</v>
      </c>
      <c r="H139" t="str">
        <f>_xlfn.CONCAT("https://tablet.otzar.org/",CHAR(35),"/exKotar/155241")</f>
        <v>https://tablet.otzar.org/#/exKotar/155241</v>
      </c>
    </row>
    <row r="140" spans="1:8" x14ac:dyDescent="0.25">
      <c r="A140">
        <v>154988</v>
      </c>
      <c r="B140" t="s">
        <v>357</v>
      </c>
      <c r="C140" t="s">
        <v>74</v>
      </c>
      <c r="D140" t="s">
        <v>10</v>
      </c>
      <c r="E140" t="s">
        <v>75</v>
      </c>
      <c r="F140" t="s">
        <v>72</v>
      </c>
      <c r="G140" t="str">
        <f>HYPERLINK(_xlfn.CONCAT("https://tablet.otzar.org/",CHAR(35),"/book/154988/p/-1/t/1/fs/0/start/0/end/0/c"),"חבש פאר")</f>
        <v>חבש פאר</v>
      </c>
      <c r="H140" t="str">
        <f>_xlfn.CONCAT("https://tablet.otzar.org/",CHAR(35),"/book/154988/p/-1/t/1/fs/0/start/0/end/0/c")</f>
        <v>https://tablet.otzar.org/#/book/154988/p/-1/t/1/fs/0/start/0/end/0/c</v>
      </c>
    </row>
    <row r="141" spans="1:8" x14ac:dyDescent="0.25">
      <c r="A141">
        <v>622916</v>
      </c>
      <c r="B141" t="s">
        <v>358</v>
      </c>
      <c r="C141" t="s">
        <v>262</v>
      </c>
      <c r="D141" t="s">
        <v>10</v>
      </c>
      <c r="E141" t="s">
        <v>38</v>
      </c>
      <c r="F141" t="s">
        <v>19</v>
      </c>
      <c r="G141" t="str">
        <f>HYPERLINK(_xlfn.CONCAT("https://tablet.otzar.org/",CHAR(35),"/exKotar/622916"),"חומש עם ביאור כל אתין שבתורה - 2 כרכים")</f>
        <v>חומש עם ביאור כל אתין שבתורה - 2 כרכים</v>
      </c>
      <c r="H141" t="str">
        <f>_xlfn.CONCAT("https://tablet.otzar.org/",CHAR(35),"/exKotar/622916")</f>
        <v>https://tablet.otzar.org/#/exKotar/622916</v>
      </c>
    </row>
    <row r="142" spans="1:8" x14ac:dyDescent="0.25">
      <c r="A142">
        <v>638172</v>
      </c>
      <c r="B142" t="s">
        <v>359</v>
      </c>
      <c r="C142" t="s">
        <v>360</v>
      </c>
      <c r="D142" t="s">
        <v>10</v>
      </c>
      <c r="E142" t="s">
        <v>189</v>
      </c>
      <c r="F142" t="s">
        <v>19</v>
      </c>
      <c r="G142" t="str">
        <f>HYPERLINK(_xlfn.CONCAT("https://tablet.otzar.org/",CHAR(35),"/exKotar/638172"),"חומש רמב""""ן ע""""פ אור לעינים - 7 כרכים")</f>
        <v>חומש רמב""ן ע""פ אור לעינים - 7 כרכים</v>
      </c>
      <c r="H142" t="str">
        <f>_xlfn.CONCAT("https://tablet.otzar.org/",CHAR(35),"/exKotar/638172")</f>
        <v>https://tablet.otzar.org/#/exKotar/638172</v>
      </c>
    </row>
    <row r="143" spans="1:8" x14ac:dyDescent="0.25">
      <c r="A143">
        <v>157051</v>
      </c>
      <c r="B143" t="s">
        <v>361</v>
      </c>
      <c r="C143" t="s">
        <v>362</v>
      </c>
      <c r="D143" t="s">
        <v>10</v>
      </c>
      <c r="E143" t="s">
        <v>200</v>
      </c>
      <c r="G143" t="str">
        <f>HYPERLINK(_xlfn.CONCAT("https://tablet.otzar.org/",CHAR(35),"/book/157051/p/-1/t/1/fs/0/start/0/end/0/c"),"חזון תורה וציון")</f>
        <v>חזון תורה וציון</v>
      </c>
      <c r="H143" t="str">
        <f>_xlfn.CONCAT("https://tablet.otzar.org/",CHAR(35),"/book/157051/p/-1/t/1/fs/0/start/0/end/0/c")</f>
        <v>https://tablet.otzar.org/#/book/157051/p/-1/t/1/fs/0/start/0/end/0/c</v>
      </c>
    </row>
    <row r="144" spans="1:8" x14ac:dyDescent="0.25">
      <c r="A144">
        <v>155093</v>
      </c>
      <c r="B144" t="s">
        <v>363</v>
      </c>
      <c r="C144" t="s">
        <v>364</v>
      </c>
      <c r="D144" t="s">
        <v>10</v>
      </c>
      <c r="E144" t="s">
        <v>365</v>
      </c>
      <c r="F144" t="s">
        <v>19</v>
      </c>
      <c r="G144" t="str">
        <f>HYPERLINK(_xlfn.CONCAT("https://tablet.otzar.org/",CHAR(35),"/book/155093/p/-1/t/1/fs/0/start/0/end/0/c"),"חזקוני &lt;מוה""""ק&gt;")</f>
        <v>חזקוני &lt;מוה""ק&gt;</v>
      </c>
      <c r="H144" t="str">
        <f>_xlfn.CONCAT("https://tablet.otzar.org/",CHAR(35),"/book/155093/p/-1/t/1/fs/0/start/0/end/0/c")</f>
        <v>https://tablet.otzar.org/#/book/155093/p/-1/t/1/fs/0/start/0/end/0/c</v>
      </c>
    </row>
    <row r="145" spans="1:8" x14ac:dyDescent="0.25">
      <c r="A145">
        <v>622949</v>
      </c>
      <c r="B145" t="s">
        <v>366</v>
      </c>
      <c r="C145" t="s">
        <v>156</v>
      </c>
      <c r="D145" t="s">
        <v>10</v>
      </c>
      <c r="E145" t="s">
        <v>38</v>
      </c>
      <c r="F145" t="s">
        <v>186</v>
      </c>
      <c r="G145" t="str">
        <f>HYPERLINK(_xlfn.CONCAT("https://tablet.otzar.org/",CHAR(35),"/book/622949/p/-1/t/1/fs/0/start/0/end/0/c"),"חיבור התשובה &lt;מוסד הרב קוק&gt;")</f>
        <v>חיבור התשובה &lt;מוסד הרב קוק&gt;</v>
      </c>
      <c r="H145" t="str">
        <f>_xlfn.CONCAT("https://tablet.otzar.org/",CHAR(35),"/book/622949/p/-1/t/1/fs/0/start/0/end/0/c")</f>
        <v>https://tablet.otzar.org/#/book/622949/p/-1/t/1/fs/0/start/0/end/0/c</v>
      </c>
    </row>
    <row r="146" spans="1:8" x14ac:dyDescent="0.25">
      <c r="A146">
        <v>157338</v>
      </c>
      <c r="B146" t="s">
        <v>367</v>
      </c>
      <c r="C146" t="s">
        <v>368</v>
      </c>
      <c r="D146" t="s">
        <v>10</v>
      </c>
      <c r="E146" t="s">
        <v>369</v>
      </c>
      <c r="F146" t="s">
        <v>31</v>
      </c>
      <c r="G146" t="str">
        <f>HYPERLINK(_xlfn.CONCAT("https://tablet.otzar.org/",CHAR(35),"/book/157338/p/-1/t/1/fs/0/start/0/end/0/c"),"חיבור יפה מהישועה")</f>
        <v>חיבור יפה מהישועה</v>
      </c>
      <c r="H146" t="str">
        <f>_xlfn.CONCAT("https://tablet.otzar.org/",CHAR(35),"/book/157338/p/-1/t/1/fs/0/start/0/end/0/c")</f>
        <v>https://tablet.otzar.org/#/book/157338/p/-1/t/1/fs/0/start/0/end/0/c</v>
      </c>
    </row>
    <row r="147" spans="1:8" x14ac:dyDescent="0.25">
      <c r="A147">
        <v>199617</v>
      </c>
      <c r="B147" t="s">
        <v>370</v>
      </c>
      <c r="C147" t="s">
        <v>371</v>
      </c>
      <c r="D147" t="s">
        <v>10</v>
      </c>
      <c r="E147" t="s">
        <v>285</v>
      </c>
      <c r="F147" t="s">
        <v>72</v>
      </c>
      <c r="G147" t="str">
        <f>HYPERLINK(_xlfn.CONCAT("https://tablet.otzar.org/",CHAR(35),"/book/199617/p/-1/t/1/fs/0/start/0/end/0/c"),"חידושי הגר""""מ והגרי""""ד")</f>
        <v>חידושי הגר""מ והגרי""ד</v>
      </c>
      <c r="H147" t="str">
        <f>_xlfn.CONCAT("https://tablet.otzar.org/",CHAR(35),"/book/199617/p/-1/t/1/fs/0/start/0/end/0/c")</f>
        <v>https://tablet.otzar.org/#/book/199617/p/-1/t/1/fs/0/start/0/end/0/c</v>
      </c>
    </row>
    <row r="148" spans="1:8" x14ac:dyDescent="0.25">
      <c r="A148">
        <v>155137</v>
      </c>
      <c r="B148" t="s">
        <v>372</v>
      </c>
      <c r="C148" t="s">
        <v>373</v>
      </c>
      <c r="D148" t="s">
        <v>10</v>
      </c>
      <c r="E148" t="s">
        <v>177</v>
      </c>
      <c r="F148" t="s">
        <v>152</v>
      </c>
      <c r="G148" t="str">
        <f>HYPERLINK(_xlfn.CONCAT("https://tablet.otzar.org/",CHAR(35),"/exKotar/155137"),"חידושי המאירי על מסכת  עירובין - 3 כרכים")</f>
        <v>חידושי המאירי על מסכת  עירובין - 3 כרכים</v>
      </c>
      <c r="H148" t="str">
        <f>_xlfn.CONCAT("https://tablet.otzar.org/",CHAR(35),"/exKotar/155137")</f>
        <v>https://tablet.otzar.org/#/exKotar/155137</v>
      </c>
    </row>
    <row r="149" spans="1:8" x14ac:dyDescent="0.25">
      <c r="A149">
        <v>154745</v>
      </c>
      <c r="B149" t="s">
        <v>374</v>
      </c>
      <c r="C149" t="s">
        <v>375</v>
      </c>
      <c r="D149" t="s">
        <v>10</v>
      </c>
      <c r="E149" t="s">
        <v>251</v>
      </c>
      <c r="F149" t="s">
        <v>152</v>
      </c>
      <c r="G149" t="str">
        <f>HYPERLINK(_xlfn.CONCAT("https://tablet.otzar.org/",CHAR(35),"/exKotar/154745"),"חידושי הר""""ן &lt;מוה""""ק&gt;  - 11 כרכים")</f>
        <v>חידושי הר""ן &lt;מוה""ק&gt;  - 11 כרכים</v>
      </c>
      <c r="H149" t="str">
        <f>_xlfn.CONCAT("https://tablet.otzar.org/",CHAR(35),"/exKotar/154745")</f>
        <v>https://tablet.otzar.org/#/exKotar/154745</v>
      </c>
    </row>
    <row r="150" spans="1:8" x14ac:dyDescent="0.25">
      <c r="A150">
        <v>154965</v>
      </c>
      <c r="B150" t="s">
        <v>376</v>
      </c>
      <c r="C150" t="s">
        <v>377</v>
      </c>
      <c r="D150" t="s">
        <v>10</v>
      </c>
      <c r="E150" t="s">
        <v>327</v>
      </c>
      <c r="F150" t="s">
        <v>152</v>
      </c>
      <c r="G150" t="str">
        <f>HYPERLINK(_xlfn.CONCAT("https://tablet.otzar.org/",CHAR(35),"/exKotar/154965"),"חידושי הריטב""""א &lt;מוה""""ק&gt;  - 26 כרכים")</f>
        <v>חידושי הריטב""א &lt;מוה""ק&gt;  - 26 כרכים</v>
      </c>
      <c r="H150" t="str">
        <f>_xlfn.CONCAT("https://tablet.otzar.org/",CHAR(35),"/exKotar/154965")</f>
        <v>https://tablet.otzar.org/#/exKotar/154965</v>
      </c>
    </row>
    <row r="151" spans="1:8" x14ac:dyDescent="0.25">
      <c r="A151">
        <v>157387</v>
      </c>
      <c r="B151" t="s">
        <v>378</v>
      </c>
      <c r="C151" t="s">
        <v>379</v>
      </c>
      <c r="D151" t="s">
        <v>10</v>
      </c>
      <c r="E151" t="s">
        <v>365</v>
      </c>
      <c r="F151" t="s">
        <v>380</v>
      </c>
      <c r="G151" t="str">
        <f>HYPERLINK(_xlfn.CONCAT("https://tablet.otzar.org/",CHAR(35),"/exKotar/157387"),"חידושי הריצ""""ד - 4 כרכים")</f>
        <v>חידושי הריצ""ד - 4 כרכים</v>
      </c>
      <c r="H151" t="str">
        <f>_xlfn.CONCAT("https://tablet.otzar.org/",CHAR(35),"/exKotar/157387")</f>
        <v>https://tablet.otzar.org/#/exKotar/157387</v>
      </c>
    </row>
    <row r="152" spans="1:8" x14ac:dyDescent="0.25">
      <c r="A152">
        <v>688803</v>
      </c>
      <c r="B152" t="s">
        <v>381</v>
      </c>
      <c r="C152" t="s">
        <v>382</v>
      </c>
      <c r="D152" t="s">
        <v>10</v>
      </c>
      <c r="E152" t="s">
        <v>244</v>
      </c>
      <c r="F152" t="s">
        <v>152</v>
      </c>
      <c r="G152" t="str">
        <f>HYPERLINK(_xlfn.CONCAT("https://tablet.otzar.org/",CHAR(35),"/exKotar/688803"),"חידושי הרמב""""ן &lt;מוה""""ק&gt; - 2 כרכים")</f>
        <v>חידושי הרמב""ן &lt;מוה""ק&gt; - 2 כרכים</v>
      </c>
      <c r="H152" t="str">
        <f>_xlfn.CONCAT("https://tablet.otzar.org/",CHAR(35),"/exKotar/688803")</f>
        <v>https://tablet.otzar.org/#/exKotar/688803</v>
      </c>
    </row>
    <row r="153" spans="1:8" x14ac:dyDescent="0.25">
      <c r="A153">
        <v>162843</v>
      </c>
      <c r="B153" t="s">
        <v>383</v>
      </c>
      <c r="C153" t="s">
        <v>384</v>
      </c>
      <c r="D153" t="s">
        <v>10</v>
      </c>
      <c r="E153" t="s">
        <v>11</v>
      </c>
      <c r="F153" t="s">
        <v>152</v>
      </c>
      <c r="G153" t="str">
        <f>HYPERLINK(_xlfn.CONCAT("https://tablet.otzar.org/",CHAR(35),"/exKotar/162843"),"חידושי הרשב""""א &lt;מוה""""ק&gt;   - 21 כרכים")</f>
        <v>חידושי הרשב""א &lt;מוה""ק&gt;   - 21 כרכים</v>
      </c>
      <c r="H153" t="str">
        <f>_xlfn.CONCAT("https://tablet.otzar.org/",CHAR(35),"/exKotar/162843")</f>
        <v>https://tablet.otzar.org/#/exKotar/162843</v>
      </c>
    </row>
    <row r="154" spans="1:8" x14ac:dyDescent="0.25">
      <c r="A154">
        <v>647283</v>
      </c>
      <c r="B154" t="s">
        <v>385</v>
      </c>
      <c r="C154" t="s">
        <v>53</v>
      </c>
      <c r="D154" t="s">
        <v>10</v>
      </c>
      <c r="E154" t="s">
        <v>44</v>
      </c>
      <c r="F154" t="s">
        <v>152</v>
      </c>
      <c r="G154" t="str">
        <f>HYPERLINK(_xlfn.CONCAT("https://tablet.otzar.org/",CHAR(35),"/exKotar/647283"),"חידושי וביאורי הגר""""א על הש""""ס - 6 כרכים")</f>
        <v>חידושי וביאורי הגר""א על הש""ס - 6 כרכים</v>
      </c>
      <c r="H154" t="str">
        <f>_xlfn.CONCAT("https://tablet.otzar.org/",CHAR(35),"/exKotar/647283")</f>
        <v>https://tablet.otzar.org/#/exKotar/647283</v>
      </c>
    </row>
    <row r="155" spans="1:8" x14ac:dyDescent="0.25">
      <c r="A155">
        <v>155227</v>
      </c>
      <c r="B155" t="s">
        <v>386</v>
      </c>
      <c r="C155" t="s">
        <v>387</v>
      </c>
      <c r="D155" t="s">
        <v>10</v>
      </c>
      <c r="E155" t="s">
        <v>18</v>
      </c>
      <c r="F155" t="s">
        <v>152</v>
      </c>
      <c r="G155" t="str">
        <f>HYPERLINK(_xlfn.CONCAT("https://tablet.otzar.org/",CHAR(35),"/book/155227/p/-1/t/1/fs/0/start/0/end/0/c"),"חכמת בצלאל פתחי נדה")</f>
        <v>חכמת בצלאל פתחי נדה</v>
      </c>
      <c r="H155" t="str">
        <f>_xlfn.CONCAT("https://tablet.otzar.org/",CHAR(35),"/book/155227/p/-1/t/1/fs/0/start/0/end/0/c")</f>
        <v>https://tablet.otzar.org/#/book/155227/p/-1/t/1/fs/0/start/0/end/0/c</v>
      </c>
    </row>
    <row r="156" spans="1:8" x14ac:dyDescent="0.25">
      <c r="A156">
        <v>155065</v>
      </c>
      <c r="B156" t="s">
        <v>388</v>
      </c>
      <c r="C156" t="s">
        <v>389</v>
      </c>
      <c r="D156" t="s">
        <v>10</v>
      </c>
      <c r="E156" t="s">
        <v>41</v>
      </c>
      <c r="F156" t="s">
        <v>19</v>
      </c>
      <c r="G156" t="str">
        <f>HYPERLINK(_xlfn.CONCAT("https://tablet.otzar.org/",CHAR(35),"/exKotar/155065"),"חמשה חומשי תורה עם פירוש אור החיים &lt;מוה""""ק&gt;  - 6 כרכים")</f>
        <v>חמשה חומשי תורה עם פירוש אור החיים &lt;מוה""ק&gt;  - 6 כרכים</v>
      </c>
      <c r="H156" t="str">
        <f>_xlfn.CONCAT("https://tablet.otzar.org/",CHAR(35),"/exKotar/155065")</f>
        <v>https://tablet.otzar.org/#/exKotar/155065</v>
      </c>
    </row>
    <row r="157" spans="1:8" x14ac:dyDescent="0.25">
      <c r="A157">
        <v>156317</v>
      </c>
      <c r="B157" t="s">
        <v>390</v>
      </c>
      <c r="C157" t="s">
        <v>391</v>
      </c>
      <c r="D157" t="s">
        <v>10</v>
      </c>
      <c r="E157" t="s">
        <v>18</v>
      </c>
      <c r="F157" t="s">
        <v>97</v>
      </c>
      <c r="G157" t="str">
        <f>HYPERLINK(_xlfn.CONCAT("https://tablet.otzar.org/",CHAR(35),"/book/156317/p/-1/t/1/fs/0/start/0/end/0/c"),"חקרי הלכה")</f>
        <v>חקרי הלכה</v>
      </c>
      <c r="H157" t="str">
        <f>_xlfn.CONCAT("https://tablet.otzar.org/",CHAR(35),"/book/156317/p/-1/t/1/fs/0/start/0/end/0/c")</f>
        <v>https://tablet.otzar.org/#/book/156317/p/-1/t/1/fs/0/start/0/end/0/c</v>
      </c>
    </row>
    <row r="158" spans="1:8" x14ac:dyDescent="0.25">
      <c r="A158">
        <v>157001</v>
      </c>
      <c r="B158" t="s">
        <v>392</v>
      </c>
      <c r="C158" t="s">
        <v>393</v>
      </c>
      <c r="D158" t="s">
        <v>10</v>
      </c>
      <c r="E158" t="s">
        <v>18</v>
      </c>
      <c r="F158" t="s">
        <v>31</v>
      </c>
      <c r="G158" t="str">
        <f>HYPERLINK(_xlfn.CONCAT("https://tablet.otzar.org/",CHAR(35),"/exKotar/157001"),"חקרי זמנים - 2 כרכים")</f>
        <v>חקרי זמנים - 2 כרכים</v>
      </c>
      <c r="H158" t="str">
        <f>_xlfn.CONCAT("https://tablet.otzar.org/",CHAR(35),"/exKotar/157001")</f>
        <v>https://tablet.otzar.org/#/exKotar/157001</v>
      </c>
    </row>
    <row r="159" spans="1:8" x14ac:dyDescent="0.25">
      <c r="A159">
        <v>157063</v>
      </c>
      <c r="B159" t="s">
        <v>394</v>
      </c>
      <c r="C159" t="s">
        <v>395</v>
      </c>
      <c r="G159" t="str">
        <f>HYPERLINK(_xlfn.CONCAT("https://tablet.otzar.org/",CHAR(35),"/book/157063/p/-1/t/1/fs/0/start/0/end/0/c"),"חקרי מקרא")</f>
        <v>חקרי מקרא</v>
      </c>
      <c r="H159" t="str">
        <f>_xlfn.CONCAT("https://tablet.otzar.org/",CHAR(35),"/book/157063/p/-1/t/1/fs/0/start/0/end/0/c")</f>
        <v>https://tablet.otzar.org/#/book/157063/p/-1/t/1/fs/0/start/0/end/0/c</v>
      </c>
    </row>
    <row r="160" spans="1:8" x14ac:dyDescent="0.25">
      <c r="A160">
        <v>657052</v>
      </c>
      <c r="B160" t="s">
        <v>396</v>
      </c>
      <c r="C160" t="s">
        <v>397</v>
      </c>
      <c r="D160" t="s">
        <v>10</v>
      </c>
      <c r="E160" t="s">
        <v>127</v>
      </c>
      <c r="F160" t="s">
        <v>186</v>
      </c>
      <c r="G160" t="str">
        <f>HYPERLINK(_xlfn.CONCAT("https://tablet.otzar.org/",CHAR(35),"/book/657052/p/-1/t/1/fs/0/start/0/end/0/c"),"חשבון הנפש &lt;מהדורת מוסד הרב קוק&gt;")</f>
        <v>חשבון הנפש &lt;מהדורת מוסד הרב קוק&gt;</v>
      </c>
      <c r="H160" t="str">
        <f>_xlfn.CONCAT("https://tablet.otzar.org/",CHAR(35),"/book/657052/p/-1/t/1/fs/0/start/0/end/0/c")</f>
        <v>https://tablet.otzar.org/#/book/657052/p/-1/t/1/fs/0/start/0/end/0/c</v>
      </c>
    </row>
    <row r="161" spans="1:8" x14ac:dyDescent="0.25">
      <c r="A161">
        <v>155086</v>
      </c>
      <c r="B161" t="s">
        <v>398</v>
      </c>
      <c r="C161" t="s">
        <v>399</v>
      </c>
      <c r="D161" t="s">
        <v>10</v>
      </c>
      <c r="E161" t="s">
        <v>206</v>
      </c>
      <c r="F161" t="s">
        <v>292</v>
      </c>
      <c r="G161" t="str">
        <f>HYPERLINK(_xlfn.CONCAT("https://tablet.otzar.org/",CHAR(35),"/exKotar/155086"),"יד אליהו - 6 כרכים")</f>
        <v>יד אליהו - 6 כרכים</v>
      </c>
      <c r="H161" t="str">
        <f>_xlfn.CONCAT("https://tablet.otzar.org/",CHAR(35),"/exKotar/155086")</f>
        <v>https://tablet.otzar.org/#/exKotar/155086</v>
      </c>
    </row>
    <row r="162" spans="1:8" x14ac:dyDescent="0.25">
      <c r="A162">
        <v>638123</v>
      </c>
      <c r="B162" t="s">
        <v>400</v>
      </c>
      <c r="C162" t="s">
        <v>401</v>
      </c>
      <c r="D162" t="s">
        <v>10</v>
      </c>
      <c r="E162" t="s">
        <v>189</v>
      </c>
      <c r="F162" t="s">
        <v>12</v>
      </c>
      <c r="G162" t="str">
        <f>HYPERLINK(_xlfn.CONCAT("https://tablet.otzar.org/",CHAR(35),"/book/638123/p/-1/t/1/fs/0/start/0/end/0/c"),"יהדות איראן וספרות רבנית")</f>
        <v>יהדות איראן וספרות רבנית</v>
      </c>
      <c r="H162" t="str">
        <f>_xlfn.CONCAT("https://tablet.otzar.org/",CHAR(35),"/book/638123/p/-1/t/1/fs/0/start/0/end/0/c")</f>
        <v>https://tablet.otzar.org/#/book/638123/p/-1/t/1/fs/0/start/0/end/0/c</v>
      </c>
    </row>
    <row r="163" spans="1:8" x14ac:dyDescent="0.25">
      <c r="A163">
        <v>158981</v>
      </c>
      <c r="B163" t="s">
        <v>402</v>
      </c>
      <c r="C163" t="s">
        <v>403</v>
      </c>
      <c r="D163" t="s">
        <v>10</v>
      </c>
      <c r="E163" t="s">
        <v>291</v>
      </c>
      <c r="F163" t="s">
        <v>12</v>
      </c>
      <c r="G163" t="str">
        <f>HYPERLINK(_xlfn.CONCAT("https://tablet.otzar.org/",CHAR(35),"/book/158981/p/-1/t/1/fs/0/start/0/end/0/c"),"יהדות ברוסיה הסוביטית")</f>
        <v>יהדות ברוסיה הסוביטית</v>
      </c>
      <c r="H163" t="str">
        <f>_xlfn.CONCAT("https://tablet.otzar.org/",CHAR(35),"/book/158981/p/-1/t/1/fs/0/start/0/end/0/c")</f>
        <v>https://tablet.otzar.org/#/book/158981/p/-1/t/1/fs/0/start/0/end/0/c</v>
      </c>
    </row>
    <row r="164" spans="1:8" x14ac:dyDescent="0.25">
      <c r="A164">
        <v>614704</v>
      </c>
      <c r="B164" t="s">
        <v>404</v>
      </c>
      <c r="C164" t="s">
        <v>405</v>
      </c>
      <c r="D164" t="s">
        <v>10</v>
      </c>
      <c r="E164" t="s">
        <v>336</v>
      </c>
      <c r="F164" t="s">
        <v>12</v>
      </c>
      <c r="G164" t="str">
        <f>HYPERLINK(_xlfn.CONCAT("https://tablet.otzar.org/",CHAR(35),"/book/614704/p/-1/t/1/fs/0/start/0/end/0/c"),"יהדות ליטא")</f>
        <v>יהדות ליטא</v>
      </c>
      <c r="H164" t="str">
        <f>_xlfn.CONCAT("https://tablet.otzar.org/",CHAR(35),"/book/614704/p/-1/t/1/fs/0/start/0/end/0/c")</f>
        <v>https://tablet.otzar.org/#/book/614704/p/-1/t/1/fs/0/start/0/end/0/c</v>
      </c>
    </row>
    <row r="165" spans="1:8" x14ac:dyDescent="0.25">
      <c r="A165">
        <v>157038</v>
      </c>
      <c r="B165" t="s">
        <v>406</v>
      </c>
      <c r="C165" t="s">
        <v>407</v>
      </c>
      <c r="D165" t="s">
        <v>10</v>
      </c>
      <c r="E165" t="s">
        <v>408</v>
      </c>
      <c r="F165" t="s">
        <v>12</v>
      </c>
      <c r="G165" t="str">
        <f>HYPERLINK(_xlfn.CONCAT("https://tablet.otzar.org/",CHAR(35),"/book/157038/p/-1/t/1/fs/0/start/0/end/0/c"),"יהודה וירושלם")</f>
        <v>יהודה וירושלם</v>
      </c>
      <c r="H165" t="str">
        <f>_xlfn.CONCAT("https://tablet.otzar.org/",CHAR(35),"/book/157038/p/-1/t/1/fs/0/start/0/end/0/c")</f>
        <v>https://tablet.otzar.org/#/book/157038/p/-1/t/1/fs/0/start/0/end/0/c</v>
      </c>
    </row>
    <row r="166" spans="1:8" x14ac:dyDescent="0.25">
      <c r="A166">
        <v>155293</v>
      </c>
      <c r="B166" t="s">
        <v>409</v>
      </c>
      <c r="C166" t="s">
        <v>410</v>
      </c>
      <c r="D166" t="s">
        <v>10</v>
      </c>
      <c r="E166" t="s">
        <v>411</v>
      </c>
      <c r="F166" t="s">
        <v>19</v>
      </c>
      <c r="G166" t="str">
        <f>HYPERLINK(_xlfn.CONCAT("https://tablet.otzar.org/",CHAR(35),"/book/155293/p/-1/t/1/fs/0/start/0/end/0/c"),"יהושע שופטים עם פירוש רש""""י")</f>
        <v>יהושע שופטים עם פירוש רש""י</v>
      </c>
      <c r="H166" t="str">
        <f>_xlfn.CONCAT("https://tablet.otzar.org/",CHAR(35),"/book/155293/p/-1/t/1/fs/0/start/0/end/0/c")</f>
        <v>https://tablet.otzar.org/#/book/155293/p/-1/t/1/fs/0/start/0/end/0/c</v>
      </c>
    </row>
    <row r="167" spans="1:8" x14ac:dyDescent="0.25">
      <c r="A167">
        <v>155172</v>
      </c>
      <c r="B167" t="s">
        <v>412</v>
      </c>
      <c r="C167" t="s">
        <v>413</v>
      </c>
      <c r="D167" t="s">
        <v>10</v>
      </c>
      <c r="E167" t="s">
        <v>103</v>
      </c>
      <c r="F167" t="s">
        <v>12</v>
      </c>
      <c r="G167" t="str">
        <f>HYPERLINK(_xlfn.CONCAT("https://tablet.otzar.org/",CHAR(35),"/book/155172/p/-1/t/1/fs/0/start/0/end/0/c"),"יודע העתים")</f>
        <v>יודע העתים</v>
      </c>
      <c r="H167" t="str">
        <f>_xlfn.CONCAT("https://tablet.otzar.org/",CHAR(35),"/book/155172/p/-1/t/1/fs/0/start/0/end/0/c")</f>
        <v>https://tablet.otzar.org/#/book/155172/p/-1/t/1/fs/0/start/0/end/0/c</v>
      </c>
    </row>
    <row r="168" spans="1:8" x14ac:dyDescent="0.25">
      <c r="A168">
        <v>156274</v>
      </c>
      <c r="B168" t="s">
        <v>414</v>
      </c>
      <c r="C168" t="s">
        <v>415</v>
      </c>
      <c r="D168" t="s">
        <v>10</v>
      </c>
      <c r="E168" t="s">
        <v>222</v>
      </c>
      <c r="F168" t="s">
        <v>12</v>
      </c>
      <c r="G168" t="str">
        <f>HYPERLINK(_xlfn.CONCAT("https://tablet.otzar.org/",CHAR(35),"/book/156274/p/-1/t/1/fs/0/start/0/end/0/c"),"יחוסי תנאים ואמוראים &lt;מהדורת מימון&gt;")</f>
        <v>יחוסי תנאים ואמוראים &lt;מהדורת מימון&gt;</v>
      </c>
      <c r="H168" t="str">
        <f>_xlfn.CONCAT("https://tablet.otzar.org/",CHAR(35),"/book/156274/p/-1/t/1/fs/0/start/0/end/0/c")</f>
        <v>https://tablet.otzar.org/#/book/156274/p/-1/t/1/fs/0/start/0/end/0/c</v>
      </c>
    </row>
    <row r="169" spans="1:8" x14ac:dyDescent="0.25">
      <c r="A169">
        <v>157999</v>
      </c>
      <c r="B169" t="s">
        <v>416</v>
      </c>
      <c r="C169" t="s">
        <v>417</v>
      </c>
      <c r="D169" t="s">
        <v>10</v>
      </c>
      <c r="E169" t="s">
        <v>279</v>
      </c>
      <c r="F169" t="s">
        <v>19</v>
      </c>
      <c r="G169" t="str">
        <f>HYPERLINK(_xlfn.CONCAT("https://tablet.otzar.org/",CHAR(35),"/exKotar/157999"),"ילקוט שמעוני &lt;מוה""""ק&gt;  - 11 כרכים")</f>
        <v>ילקוט שמעוני &lt;מוה""ק&gt;  - 11 כרכים</v>
      </c>
      <c r="H169" t="str">
        <f>_xlfn.CONCAT("https://tablet.otzar.org/",CHAR(35),"/exKotar/157999")</f>
        <v>https://tablet.otzar.org/#/exKotar/157999</v>
      </c>
    </row>
    <row r="170" spans="1:8" x14ac:dyDescent="0.25">
      <c r="A170">
        <v>157323</v>
      </c>
      <c r="B170" t="s">
        <v>418</v>
      </c>
      <c r="C170" t="s">
        <v>17</v>
      </c>
      <c r="D170" t="s">
        <v>10</v>
      </c>
      <c r="E170" t="s">
        <v>75</v>
      </c>
      <c r="F170" t="s">
        <v>31</v>
      </c>
      <c r="G170" t="str">
        <f>HYPERLINK(_xlfn.CONCAT("https://tablet.otzar.org/",CHAR(35),"/book/157323/p/-1/t/1/fs/0/start/0/end/0/c"),"יסוד דקדוק הוא שפת יתר")</f>
        <v>יסוד דקדוק הוא שפת יתר</v>
      </c>
      <c r="H170" t="str">
        <f>_xlfn.CONCAT("https://tablet.otzar.org/",CHAR(35),"/book/157323/p/-1/t/1/fs/0/start/0/end/0/c")</f>
        <v>https://tablet.otzar.org/#/book/157323/p/-1/t/1/fs/0/start/0/end/0/c</v>
      </c>
    </row>
    <row r="171" spans="1:8" x14ac:dyDescent="0.25">
      <c r="A171">
        <v>155210</v>
      </c>
      <c r="B171" t="s">
        <v>419</v>
      </c>
      <c r="C171" t="s">
        <v>329</v>
      </c>
      <c r="D171" t="s">
        <v>10</v>
      </c>
      <c r="E171" t="s">
        <v>420</v>
      </c>
      <c r="F171" t="s">
        <v>421</v>
      </c>
      <c r="G171" t="str">
        <f>HYPERLINK(_xlfn.CONCAT("https://tablet.otzar.org/",CHAR(35),"/book/155210/p/-1/t/1/fs/0/start/0/end/0/c"),"יסוד המשנה ועריכתה")</f>
        <v>יסוד המשנה ועריכתה</v>
      </c>
      <c r="H171" t="str">
        <f>_xlfn.CONCAT("https://tablet.otzar.org/",CHAR(35),"/book/155210/p/-1/t/1/fs/0/start/0/end/0/c")</f>
        <v>https://tablet.otzar.org/#/book/155210/p/-1/t/1/fs/0/start/0/end/0/c</v>
      </c>
    </row>
    <row r="172" spans="1:8" x14ac:dyDescent="0.25">
      <c r="A172">
        <v>647317</v>
      </c>
      <c r="B172" t="s">
        <v>422</v>
      </c>
      <c r="C172" t="s">
        <v>17</v>
      </c>
      <c r="D172" t="s">
        <v>10</v>
      </c>
      <c r="E172" t="s">
        <v>44</v>
      </c>
      <c r="F172" t="s">
        <v>423</v>
      </c>
      <c r="G172" t="str">
        <f>HYPERLINK(_xlfn.CONCAT("https://tablet.otzar.org/",CHAR(35),"/book/647317/p/-1/t/1/fs/0/start/0/end/0/c"),"יסוד מורא וסוד תורה &lt;מהדורת מוה""""ק&gt;")</f>
        <v>יסוד מורא וסוד תורה &lt;מהדורת מוה""ק&gt;</v>
      </c>
      <c r="H172" t="str">
        <f>_xlfn.CONCAT("https://tablet.otzar.org/",CHAR(35),"/book/647317/p/-1/t/1/fs/0/start/0/end/0/c")</f>
        <v>https://tablet.otzar.org/#/book/647317/p/-1/t/1/fs/0/start/0/end/0/c</v>
      </c>
    </row>
    <row r="173" spans="1:8" x14ac:dyDescent="0.25">
      <c r="A173">
        <v>157324</v>
      </c>
      <c r="B173" t="s">
        <v>424</v>
      </c>
      <c r="C173" t="s">
        <v>425</v>
      </c>
      <c r="D173" t="s">
        <v>10</v>
      </c>
      <c r="E173" t="s">
        <v>300</v>
      </c>
      <c r="F173" t="s">
        <v>72</v>
      </c>
      <c r="G173" t="str">
        <f>HYPERLINK(_xlfn.CONCAT("https://tablet.otzar.org/",CHAR(35),"/book/157324/p/-1/t/1/fs/0/start/0/end/0/c"),"יקר תפארת")</f>
        <v>יקר תפארת</v>
      </c>
      <c r="H173" t="str">
        <f>_xlfn.CONCAT("https://tablet.otzar.org/",CHAR(35),"/book/157324/p/-1/t/1/fs/0/start/0/end/0/c")</f>
        <v>https://tablet.otzar.org/#/book/157324/p/-1/t/1/fs/0/start/0/end/0/c</v>
      </c>
    </row>
    <row r="174" spans="1:8" x14ac:dyDescent="0.25">
      <c r="A174">
        <v>157039</v>
      </c>
      <c r="B174" t="s">
        <v>426</v>
      </c>
      <c r="C174" t="s">
        <v>338</v>
      </c>
      <c r="D174" t="s">
        <v>10</v>
      </c>
      <c r="E174" t="s">
        <v>18</v>
      </c>
      <c r="F174" t="s">
        <v>110</v>
      </c>
      <c r="G174" t="str">
        <f>HYPERLINK(_xlfn.CONCAT("https://tablet.otzar.org/",CHAR(35),"/book/157039/p/-1/t/1/fs/0/start/0/end/0/c"),"ירושלים עיר הקודש והמקדש")</f>
        <v>ירושלים עיר הקודש והמקדש</v>
      </c>
      <c r="H174" t="str">
        <f>_xlfn.CONCAT("https://tablet.otzar.org/",CHAR(35),"/book/157039/p/-1/t/1/fs/0/start/0/end/0/c")</f>
        <v>https://tablet.otzar.org/#/book/157039/p/-1/t/1/fs/0/start/0/end/0/c</v>
      </c>
    </row>
    <row r="175" spans="1:8" x14ac:dyDescent="0.25">
      <c r="A175">
        <v>638034</v>
      </c>
      <c r="B175" t="s">
        <v>427</v>
      </c>
      <c r="C175" t="s">
        <v>428</v>
      </c>
      <c r="D175" t="s">
        <v>10</v>
      </c>
      <c r="E175" t="s">
        <v>189</v>
      </c>
      <c r="F175" t="s">
        <v>31</v>
      </c>
      <c r="G175" t="str">
        <f>HYPERLINK(_xlfn.CONCAT("https://tablet.otzar.org/",CHAR(35),"/book/638034/p/-1/t/1/fs/0/start/0/end/0/c"),"יריעות שלמה &lt;מוה""""ק&gt;")</f>
        <v>יריעות שלמה &lt;מוה""ק&gt;</v>
      </c>
      <c r="H175" t="str">
        <f>_xlfn.CONCAT("https://tablet.otzar.org/",CHAR(35),"/book/638034/p/-1/t/1/fs/0/start/0/end/0/c")</f>
        <v>https://tablet.otzar.org/#/book/638034/p/-1/t/1/fs/0/start/0/end/0/c</v>
      </c>
    </row>
    <row r="176" spans="1:8" x14ac:dyDescent="0.25">
      <c r="A176">
        <v>688770</v>
      </c>
      <c r="B176" t="s">
        <v>429</v>
      </c>
      <c r="C176" t="s">
        <v>430</v>
      </c>
      <c r="D176" t="s">
        <v>10</v>
      </c>
      <c r="E176" t="s">
        <v>54</v>
      </c>
      <c r="G176" t="str">
        <f>HYPERLINK(_xlfn.CONCAT("https://tablet.otzar.org/",CHAR(35),"/book/688770/p/-1/t/1/fs/0/start/0/end/0/c"),"כדת משה וישראל")</f>
        <v>כדת משה וישראל</v>
      </c>
      <c r="H176" t="str">
        <f>_xlfn.CONCAT("https://tablet.otzar.org/",CHAR(35),"/book/688770/p/-1/t/1/fs/0/start/0/end/0/c")</f>
        <v>https://tablet.otzar.org/#/book/688770/p/-1/t/1/fs/0/start/0/end/0/c</v>
      </c>
    </row>
    <row r="177" spans="1:8" x14ac:dyDescent="0.25">
      <c r="A177">
        <v>157014</v>
      </c>
      <c r="B177" t="s">
        <v>431</v>
      </c>
      <c r="C177" t="s">
        <v>174</v>
      </c>
      <c r="D177" t="s">
        <v>10</v>
      </c>
      <c r="E177" t="s">
        <v>162</v>
      </c>
      <c r="G177" t="str">
        <f>HYPERLINK(_xlfn.CONCAT("https://tablet.otzar.org/",CHAR(35),"/book/157014/p/-1/t/1/fs/0/start/0/end/0/c"),"כללי התלמוד בדברי הרמב""""ן")</f>
        <v>כללי התלמוד בדברי הרמב""ן</v>
      </c>
      <c r="H177" t="str">
        <f>_xlfn.CONCAT("https://tablet.otzar.org/",CHAR(35),"/book/157014/p/-1/t/1/fs/0/start/0/end/0/c")</f>
        <v>https://tablet.otzar.org/#/book/157014/p/-1/t/1/fs/0/start/0/end/0/c</v>
      </c>
    </row>
    <row r="178" spans="1:8" x14ac:dyDescent="0.25">
      <c r="A178">
        <v>159751</v>
      </c>
      <c r="B178" t="s">
        <v>432</v>
      </c>
      <c r="C178" t="s">
        <v>433</v>
      </c>
      <c r="D178" t="s">
        <v>10</v>
      </c>
      <c r="E178" t="s">
        <v>106</v>
      </c>
      <c r="F178" t="s">
        <v>23</v>
      </c>
      <c r="G178" t="str">
        <f>HYPERLINK(_xlfn.CONCAT("https://tablet.otzar.org/",CHAR(35),"/book/159751/p/-1/t/1/fs/0/start/0/end/0/c"),"כפתור ופרח &lt;פרחי ציון&gt; מוסד הרב קוק")</f>
        <v>כפתור ופרח &lt;פרחי ציון&gt; מוסד הרב קוק</v>
      </c>
      <c r="H178" t="str">
        <f>_xlfn.CONCAT("https://tablet.otzar.org/",CHAR(35),"/book/159751/p/-1/t/1/fs/0/start/0/end/0/c")</f>
        <v>https://tablet.otzar.org/#/book/159751/p/-1/t/1/fs/0/start/0/end/0/c</v>
      </c>
    </row>
    <row r="179" spans="1:8" x14ac:dyDescent="0.25">
      <c r="A179">
        <v>157365</v>
      </c>
      <c r="B179" t="s">
        <v>434</v>
      </c>
      <c r="C179" t="s">
        <v>435</v>
      </c>
      <c r="D179" t="s">
        <v>10</v>
      </c>
      <c r="E179" t="s">
        <v>436</v>
      </c>
      <c r="F179" t="s">
        <v>51</v>
      </c>
      <c r="G179" t="str">
        <f>HYPERLINK(_xlfn.CONCAT("https://tablet.otzar.org/",CHAR(35),"/book/157365/p/-1/t/1/fs/0/start/0/end/0/c"),"כרם רידב""""ז")</f>
        <v>כרם רידב""ז</v>
      </c>
      <c r="H179" t="str">
        <f>_xlfn.CONCAT("https://tablet.otzar.org/",CHAR(35),"/book/157365/p/-1/t/1/fs/0/start/0/end/0/c")</f>
        <v>https://tablet.otzar.org/#/book/157365/p/-1/t/1/fs/0/start/0/end/0/c</v>
      </c>
    </row>
    <row r="180" spans="1:8" x14ac:dyDescent="0.25">
      <c r="A180">
        <v>155124</v>
      </c>
      <c r="B180" t="s">
        <v>437</v>
      </c>
      <c r="C180" t="s">
        <v>138</v>
      </c>
      <c r="D180" t="s">
        <v>10</v>
      </c>
      <c r="E180" t="s">
        <v>411</v>
      </c>
      <c r="F180" t="s">
        <v>438</v>
      </c>
      <c r="G180" t="str">
        <f>HYPERLINK(_xlfn.CONCAT("https://tablet.otzar.org/",CHAR(35),"/book/155124/p/-1/t/1/fs/0/start/0/end/0/c"),"כתבי רבי עובדיה ספורנו")</f>
        <v>כתבי רבי עובדיה ספורנו</v>
      </c>
      <c r="H180" t="str">
        <f>_xlfn.CONCAT("https://tablet.otzar.org/",CHAR(35),"/book/155124/p/-1/t/1/fs/0/start/0/end/0/c")</f>
        <v>https://tablet.otzar.org/#/book/155124/p/-1/t/1/fs/0/start/0/end/0/c</v>
      </c>
    </row>
    <row r="181" spans="1:8" x14ac:dyDescent="0.25">
      <c r="A181">
        <v>155302</v>
      </c>
      <c r="B181" t="s">
        <v>439</v>
      </c>
      <c r="C181" t="s">
        <v>440</v>
      </c>
      <c r="D181" t="s">
        <v>10</v>
      </c>
      <c r="E181" t="s">
        <v>89</v>
      </c>
      <c r="F181" t="s">
        <v>441</v>
      </c>
      <c r="G181" t="str">
        <f>HYPERLINK(_xlfn.CONCAT("https://tablet.otzar.org/",CHAR(35),"/book/155302/p/-1/t/1/fs/0/start/0/end/0/c"),"כתבי רבינו בחיי - כד הקמח, שלחן של ארבע, פרקי אבות")</f>
        <v>כתבי רבינו בחיי - כד הקמח, שלחן של ארבע, פרקי אבות</v>
      </c>
      <c r="H181" t="str">
        <f>_xlfn.CONCAT("https://tablet.otzar.org/",CHAR(35),"/book/155302/p/-1/t/1/fs/0/start/0/end/0/c")</f>
        <v>https://tablet.otzar.org/#/book/155302/p/-1/t/1/fs/0/start/0/end/0/c</v>
      </c>
    </row>
    <row r="182" spans="1:8" x14ac:dyDescent="0.25">
      <c r="A182">
        <v>155052</v>
      </c>
      <c r="B182" t="s">
        <v>442</v>
      </c>
      <c r="C182" t="s">
        <v>382</v>
      </c>
      <c r="D182" t="s">
        <v>10</v>
      </c>
      <c r="E182" t="s">
        <v>222</v>
      </c>
      <c r="F182" t="s">
        <v>443</v>
      </c>
      <c r="G182" t="str">
        <f>HYPERLINK(_xlfn.CONCAT("https://tablet.otzar.org/",CHAR(35),"/exKotar/155052"),"כתבי רבינו משה בן נחמן (רמב""""ן) א &lt;מוה""""ק&gt; - 2 כרכים")</f>
        <v>כתבי רבינו משה בן נחמן (רמב""ן) א &lt;מוה""ק&gt; - 2 כרכים</v>
      </c>
      <c r="H182" t="str">
        <f>_xlfn.CONCAT("https://tablet.otzar.org/",CHAR(35),"/exKotar/155052")</f>
        <v>https://tablet.otzar.org/#/exKotar/155052</v>
      </c>
    </row>
    <row r="183" spans="1:8" x14ac:dyDescent="0.25">
      <c r="A183">
        <v>155173</v>
      </c>
      <c r="B183" t="s">
        <v>444</v>
      </c>
      <c r="C183" t="s">
        <v>317</v>
      </c>
      <c r="D183" t="s">
        <v>10</v>
      </c>
      <c r="E183" t="s">
        <v>445</v>
      </c>
      <c r="F183" t="s">
        <v>31</v>
      </c>
      <c r="G183" t="str">
        <f>HYPERLINK(_xlfn.CONCAT("https://tablet.otzar.org/",CHAR(35),"/exKotar/155173"),"כתבים רפואיים - 4 כרכים")</f>
        <v>כתבים רפואיים - 4 כרכים</v>
      </c>
      <c r="H183" t="str">
        <f>_xlfn.CONCAT("https://tablet.otzar.org/",CHAR(35),"/exKotar/155173")</f>
        <v>https://tablet.otzar.org/#/exKotar/155173</v>
      </c>
    </row>
    <row r="184" spans="1:8" x14ac:dyDescent="0.25">
      <c r="A184">
        <v>158454</v>
      </c>
      <c r="B184" t="s">
        <v>446</v>
      </c>
      <c r="C184" t="s">
        <v>447</v>
      </c>
      <c r="D184" t="s">
        <v>10</v>
      </c>
      <c r="E184" t="s">
        <v>18</v>
      </c>
      <c r="F184" t="s">
        <v>68</v>
      </c>
      <c r="G184" t="str">
        <f>HYPERLINK(_xlfn.CONCAT("https://tablet.otzar.org/",CHAR(35),"/book/158454/p/-1/t/1/fs/0/start/0/end/0/c"),"כתר ארם צובה והנוסח המקובל של המקרא")</f>
        <v>כתר ארם צובה והנוסח המקובל של המקרא</v>
      </c>
      <c r="H184" t="str">
        <f>_xlfn.CONCAT("https://tablet.otzar.org/",CHAR(35),"/book/158454/p/-1/t/1/fs/0/start/0/end/0/c")</f>
        <v>https://tablet.otzar.org/#/book/158454/p/-1/t/1/fs/0/start/0/end/0/c</v>
      </c>
    </row>
    <row r="185" spans="1:8" x14ac:dyDescent="0.25">
      <c r="A185">
        <v>157046</v>
      </c>
      <c r="B185" t="s">
        <v>448</v>
      </c>
      <c r="C185" t="s">
        <v>449</v>
      </c>
      <c r="D185" t="s">
        <v>10</v>
      </c>
      <c r="E185" t="s">
        <v>197</v>
      </c>
      <c r="G185" t="str">
        <f>HYPERLINK(_xlfn.CONCAT("https://tablet.otzar.org/",CHAR(35),"/book/157046/p/-1/t/1/fs/0/start/0/end/0/c"),"לאור ההלכה")</f>
        <v>לאור ההלכה</v>
      </c>
      <c r="H185" t="str">
        <f>_xlfn.CONCAT("https://tablet.otzar.org/",CHAR(35),"/book/157046/p/-1/t/1/fs/0/start/0/end/0/c")</f>
        <v>https://tablet.otzar.org/#/book/157046/p/-1/t/1/fs/0/start/0/end/0/c</v>
      </c>
    </row>
    <row r="186" spans="1:8" x14ac:dyDescent="0.25">
      <c r="A186">
        <v>155202</v>
      </c>
      <c r="B186" t="s">
        <v>450</v>
      </c>
      <c r="C186" t="s">
        <v>451</v>
      </c>
      <c r="D186" t="s">
        <v>10</v>
      </c>
      <c r="E186" t="s">
        <v>71</v>
      </c>
      <c r="F186" t="s">
        <v>51</v>
      </c>
      <c r="G186" t="str">
        <f>HYPERLINK(_xlfn.CONCAT("https://tablet.otzar.org/",CHAR(35),"/book/155202/p/-1/t/1/fs/0/start/0/end/0/c"),"לב שלמה")</f>
        <v>לב שלמה</v>
      </c>
      <c r="H186" t="str">
        <f>_xlfn.CONCAT("https://tablet.otzar.org/",CHAR(35),"/book/155202/p/-1/t/1/fs/0/start/0/end/0/c")</f>
        <v>https://tablet.otzar.org/#/book/155202/p/-1/t/1/fs/0/start/0/end/0/c</v>
      </c>
    </row>
    <row r="187" spans="1:8" x14ac:dyDescent="0.25">
      <c r="A187">
        <v>677755</v>
      </c>
      <c r="B187" t="s">
        <v>452</v>
      </c>
      <c r="C187" t="s">
        <v>188</v>
      </c>
      <c r="D187" t="s">
        <v>10</v>
      </c>
      <c r="E187" t="s">
        <v>148</v>
      </c>
      <c r="F187" t="s">
        <v>72</v>
      </c>
      <c r="G187" t="str">
        <f>HYPERLINK(_xlfn.CONCAT("https://tablet.otzar.org/",CHAR(35),"/book/677755/p/-1/t/1/fs/0/start/0/end/0/c"),"לדרך טעמי המצות")</f>
        <v>לדרך טעמי המצות</v>
      </c>
      <c r="H187" t="str">
        <f>_xlfn.CONCAT("https://tablet.otzar.org/",CHAR(35),"/book/677755/p/-1/t/1/fs/0/start/0/end/0/c")</f>
        <v>https://tablet.otzar.org/#/book/677755/p/-1/t/1/fs/0/start/0/end/0/c</v>
      </c>
    </row>
    <row r="188" spans="1:8" x14ac:dyDescent="0.25">
      <c r="A188">
        <v>157383</v>
      </c>
      <c r="B188" t="s">
        <v>453</v>
      </c>
      <c r="C188" t="s">
        <v>454</v>
      </c>
      <c r="D188" t="s">
        <v>10</v>
      </c>
      <c r="E188" t="s">
        <v>26</v>
      </c>
      <c r="F188" t="s">
        <v>31</v>
      </c>
      <c r="G188" t="str">
        <f>HYPERLINK(_xlfn.CONCAT("https://tablet.otzar.org/",CHAR(35),"/book/157383/p/-1/t/1/fs/0/start/0/end/0/c"),"לוח לששת אלפים שנה")</f>
        <v>לוח לששת אלפים שנה</v>
      </c>
      <c r="H188" t="str">
        <f>_xlfn.CONCAT("https://tablet.otzar.org/",CHAR(35),"/book/157383/p/-1/t/1/fs/0/start/0/end/0/c")</f>
        <v>https://tablet.otzar.org/#/book/157383/p/-1/t/1/fs/0/start/0/end/0/c</v>
      </c>
    </row>
    <row r="189" spans="1:8" x14ac:dyDescent="0.25">
      <c r="A189">
        <v>169987</v>
      </c>
      <c r="B189" t="s">
        <v>455</v>
      </c>
      <c r="C189" t="s">
        <v>456</v>
      </c>
      <c r="D189" t="s">
        <v>10</v>
      </c>
      <c r="E189" t="s">
        <v>113</v>
      </c>
      <c r="F189" t="s">
        <v>97</v>
      </c>
      <c r="G189" t="str">
        <f>HYPERLINK(_xlfn.CONCAT("https://tablet.otzar.org/",CHAR(35),"/book/169987/p/-1/t/1/fs/0/start/0/end/0/c"),"ליקוטי אבידה")</f>
        <v>ליקוטי אבידה</v>
      </c>
      <c r="H189" t="str">
        <f>_xlfn.CONCAT("https://tablet.otzar.org/",CHAR(35),"/book/169987/p/-1/t/1/fs/0/start/0/end/0/c")</f>
        <v>https://tablet.otzar.org/#/book/169987/p/-1/t/1/fs/0/start/0/end/0/c</v>
      </c>
    </row>
    <row r="190" spans="1:8" x14ac:dyDescent="0.25">
      <c r="A190">
        <v>156275</v>
      </c>
      <c r="B190" t="s">
        <v>457</v>
      </c>
      <c r="C190" t="s">
        <v>338</v>
      </c>
      <c r="D190" t="s">
        <v>10</v>
      </c>
      <c r="E190" t="s">
        <v>458</v>
      </c>
      <c r="F190" t="s">
        <v>459</v>
      </c>
      <c r="G190" t="str">
        <f>HYPERLINK(_xlfn.CONCAT("https://tablet.otzar.org/",CHAR(35),"/book/156275/p/-1/t/1/fs/0/start/0/end/0/c"),"לכבוד יום טוב")</f>
        <v>לכבוד יום טוב</v>
      </c>
      <c r="H190" t="str">
        <f>_xlfn.CONCAT("https://tablet.otzar.org/",CHAR(35),"/book/156275/p/-1/t/1/fs/0/start/0/end/0/c")</f>
        <v>https://tablet.otzar.org/#/book/156275/p/-1/t/1/fs/0/start/0/end/0/c</v>
      </c>
    </row>
    <row r="191" spans="1:8" x14ac:dyDescent="0.25">
      <c r="A191">
        <v>157062</v>
      </c>
      <c r="B191" t="s">
        <v>460</v>
      </c>
      <c r="C191" t="s">
        <v>461</v>
      </c>
      <c r="D191" t="s">
        <v>10</v>
      </c>
      <c r="E191" t="s">
        <v>157</v>
      </c>
      <c r="F191" t="s">
        <v>72</v>
      </c>
      <c r="G191" t="str">
        <f>HYPERLINK(_xlfn.CONCAT("https://tablet.otzar.org/",CHAR(35),"/book/157062/p/-1/t/1/fs/0/start/0/end/0/c"),"ללשונות הרמב""""ם - א")</f>
        <v>ללשונות הרמב""ם - א</v>
      </c>
      <c r="H191" t="str">
        <f>_xlfn.CONCAT("https://tablet.otzar.org/",CHAR(35),"/book/157062/p/-1/t/1/fs/0/start/0/end/0/c")</f>
        <v>https://tablet.otzar.org/#/book/157062/p/-1/t/1/fs/0/start/0/end/0/c</v>
      </c>
    </row>
    <row r="192" spans="1:8" x14ac:dyDescent="0.25">
      <c r="A192">
        <v>155362</v>
      </c>
      <c r="B192" t="s">
        <v>462</v>
      </c>
      <c r="C192" t="s">
        <v>463</v>
      </c>
      <c r="D192" t="s">
        <v>10</v>
      </c>
      <c r="E192" t="s">
        <v>41</v>
      </c>
      <c r="F192" t="s">
        <v>152</v>
      </c>
      <c r="G192" t="str">
        <f>HYPERLINK(_xlfn.CONCAT("https://tablet.otzar.org/",CHAR(35),"/book/155362/p/-1/t/1/fs/0/start/0/end/0/c"),"לקט ראשונים על מסכת סוטה")</f>
        <v>לקט ראשונים על מסכת סוטה</v>
      </c>
      <c r="H192" t="str">
        <f>_xlfn.CONCAT("https://tablet.otzar.org/",CHAR(35),"/book/155362/p/-1/t/1/fs/0/start/0/end/0/c")</f>
        <v>https://tablet.otzar.org/#/book/155362/p/-1/t/1/fs/0/start/0/end/0/c</v>
      </c>
    </row>
    <row r="193" spans="1:8" x14ac:dyDescent="0.25">
      <c r="A193">
        <v>157044</v>
      </c>
      <c r="B193" t="s">
        <v>464</v>
      </c>
      <c r="C193" t="s">
        <v>465</v>
      </c>
      <c r="D193" t="s">
        <v>10</v>
      </c>
      <c r="E193" t="s">
        <v>300</v>
      </c>
      <c r="F193" t="s">
        <v>350</v>
      </c>
      <c r="G193" t="str">
        <f>HYPERLINK(_xlfn.CONCAT("https://tablet.otzar.org/",CHAR(35),"/book/157044/p/-1/t/1/fs/0/start/0/end/0/c"),"לשון למודים")</f>
        <v>לשון למודים</v>
      </c>
      <c r="H193" t="str">
        <f>_xlfn.CONCAT("https://tablet.otzar.org/",CHAR(35),"/book/157044/p/-1/t/1/fs/0/start/0/end/0/c")</f>
        <v>https://tablet.otzar.org/#/book/157044/p/-1/t/1/fs/0/start/0/end/0/c</v>
      </c>
    </row>
    <row r="194" spans="1:8" x14ac:dyDescent="0.25">
      <c r="A194">
        <v>156299</v>
      </c>
      <c r="B194" t="s">
        <v>466</v>
      </c>
      <c r="C194" t="s">
        <v>354</v>
      </c>
      <c r="D194" t="s">
        <v>10</v>
      </c>
      <c r="E194" t="s">
        <v>151</v>
      </c>
      <c r="F194" t="s">
        <v>12</v>
      </c>
      <c r="G194" t="str">
        <f>HYPERLINK(_xlfn.CONCAT("https://tablet.otzar.org/",CHAR(35),"/book/156299/p/-1/t/1/fs/0/start/0/end/0/c"),"לתולדות הקהילות בפולין")</f>
        <v>לתולדות הקהילות בפולין</v>
      </c>
      <c r="H194" t="str">
        <f>_xlfn.CONCAT("https://tablet.otzar.org/",CHAR(35),"/book/156299/p/-1/t/1/fs/0/start/0/end/0/c")</f>
        <v>https://tablet.otzar.org/#/book/156299/p/-1/t/1/fs/0/start/0/end/0/c</v>
      </c>
    </row>
    <row r="195" spans="1:8" x14ac:dyDescent="0.25">
      <c r="A195">
        <v>155169</v>
      </c>
      <c r="B195" t="s">
        <v>467</v>
      </c>
      <c r="C195" t="s">
        <v>53</v>
      </c>
      <c r="D195" t="s">
        <v>10</v>
      </c>
      <c r="E195" t="s">
        <v>78</v>
      </c>
      <c r="F195" t="s">
        <v>468</v>
      </c>
      <c r="G195" t="str">
        <f>HYPERLINK(_xlfn.CONCAT("https://tablet.otzar.org/",CHAR(35),"/book/155169/p/-1/t/1/fs/0/start/0/end/0/c"),"מאורות הגר""""א")</f>
        <v>מאורות הגר""א</v>
      </c>
      <c r="H195" t="str">
        <f>_xlfn.CONCAT("https://tablet.otzar.org/",CHAR(35),"/book/155169/p/-1/t/1/fs/0/start/0/end/0/c")</f>
        <v>https://tablet.otzar.org/#/book/155169/p/-1/t/1/fs/0/start/0/end/0/c</v>
      </c>
    </row>
    <row r="196" spans="1:8" x14ac:dyDescent="0.25">
      <c r="A196">
        <v>601565</v>
      </c>
      <c r="B196" t="s">
        <v>469</v>
      </c>
      <c r="C196" t="s">
        <v>470</v>
      </c>
      <c r="D196" t="s">
        <v>10</v>
      </c>
      <c r="E196" t="s">
        <v>127</v>
      </c>
      <c r="F196" t="s">
        <v>31</v>
      </c>
      <c r="G196" t="str">
        <f>HYPERLINK(_xlfn.CONCAT("https://tablet.otzar.org/",CHAR(35),"/exKotar/601565"),"מאמרי טוביה - 6 כרכים")</f>
        <v>מאמרי טוביה - 6 כרכים</v>
      </c>
      <c r="H196" t="str">
        <f>_xlfn.CONCAT("https://tablet.otzar.org/",CHAR(35),"/exKotar/601565")</f>
        <v>https://tablet.otzar.org/#/exKotar/601565</v>
      </c>
    </row>
    <row r="197" spans="1:8" x14ac:dyDescent="0.25">
      <c r="A197">
        <v>157327</v>
      </c>
      <c r="B197" t="s">
        <v>471</v>
      </c>
      <c r="C197" t="s">
        <v>472</v>
      </c>
      <c r="D197" t="s">
        <v>10</v>
      </c>
      <c r="E197" t="s">
        <v>116</v>
      </c>
      <c r="F197" t="s">
        <v>229</v>
      </c>
      <c r="G197" t="str">
        <f>HYPERLINK(_xlfn.CONCAT("https://tablet.otzar.org/",CHAR(35),"/book/157327/p/-1/t/1/fs/0/start/0/end/0/c"),"מבחר הפיוט והשירה של ימי הבינים")</f>
        <v>מבחר הפיוט והשירה של ימי הבינים</v>
      </c>
      <c r="H197" t="str">
        <f>_xlfn.CONCAT("https://tablet.otzar.org/",CHAR(35),"/book/157327/p/-1/t/1/fs/0/start/0/end/0/c")</f>
        <v>https://tablet.otzar.org/#/book/157327/p/-1/t/1/fs/0/start/0/end/0/c</v>
      </c>
    </row>
    <row r="198" spans="1:8" x14ac:dyDescent="0.25">
      <c r="A198">
        <v>156331</v>
      </c>
      <c r="B198" t="s">
        <v>473</v>
      </c>
      <c r="C198" t="s">
        <v>474</v>
      </c>
      <c r="D198" t="s">
        <v>10</v>
      </c>
      <c r="E198" t="s">
        <v>369</v>
      </c>
      <c r="F198" t="s">
        <v>110</v>
      </c>
      <c r="G198" t="str">
        <f>HYPERLINK(_xlfn.CONCAT("https://tablet.otzar.org/",CHAR(35),"/book/156331/p/-1/t/1/fs/0/start/0/end/0/c"),"מבחר כתבי ישראל דב פרומקין")</f>
        <v>מבחר כתבי ישראל דב פרומקין</v>
      </c>
      <c r="H198" t="str">
        <f>_xlfn.CONCAT("https://tablet.otzar.org/",CHAR(35),"/book/156331/p/-1/t/1/fs/0/start/0/end/0/c")</f>
        <v>https://tablet.otzar.org/#/book/156331/p/-1/t/1/fs/0/start/0/end/0/c</v>
      </c>
    </row>
    <row r="199" spans="1:8" x14ac:dyDescent="0.25">
      <c r="A199">
        <v>156308</v>
      </c>
      <c r="B199" t="s">
        <v>475</v>
      </c>
      <c r="C199" t="s">
        <v>476</v>
      </c>
      <c r="D199" t="s">
        <v>10</v>
      </c>
      <c r="E199" t="s">
        <v>47</v>
      </c>
      <c r="F199" t="s">
        <v>31</v>
      </c>
      <c r="G199" t="str">
        <f>HYPERLINK(_xlfn.CONCAT("https://tablet.otzar.org/",CHAR(35),"/book/156308/p/-1/t/1/fs/0/start/0/end/0/c"),"מבחר כתבים")</f>
        <v>מבחר כתבים</v>
      </c>
      <c r="H199" t="str">
        <f>_xlfn.CONCAT("https://tablet.otzar.org/",CHAR(35),"/book/156308/p/-1/t/1/fs/0/start/0/end/0/c")</f>
        <v>https://tablet.otzar.org/#/book/156308/p/-1/t/1/fs/0/start/0/end/0/c</v>
      </c>
    </row>
    <row r="200" spans="1:8" x14ac:dyDescent="0.25">
      <c r="A200">
        <v>157036</v>
      </c>
      <c r="B200" t="s">
        <v>477</v>
      </c>
      <c r="C200" t="s">
        <v>478</v>
      </c>
      <c r="D200" t="s">
        <v>10</v>
      </c>
      <c r="E200" t="s">
        <v>479</v>
      </c>
      <c r="F200" t="s">
        <v>31</v>
      </c>
      <c r="G200" t="str">
        <f>HYPERLINK(_xlfn.CONCAT("https://tablet.otzar.org/",CHAR(35),"/book/157036/p/-1/t/1/fs/0/start/0/end/0/c"),"מבטאי שפתנו")</f>
        <v>מבטאי שפתנו</v>
      </c>
      <c r="H200" t="str">
        <f>_xlfn.CONCAT("https://tablet.otzar.org/",CHAR(35),"/book/157036/p/-1/t/1/fs/0/start/0/end/0/c")</f>
        <v>https://tablet.otzar.org/#/book/157036/p/-1/t/1/fs/0/start/0/end/0/c</v>
      </c>
    </row>
    <row r="201" spans="1:8" x14ac:dyDescent="0.25">
      <c r="A201">
        <v>155555</v>
      </c>
      <c r="B201" t="s">
        <v>480</v>
      </c>
      <c r="C201" t="s">
        <v>481</v>
      </c>
      <c r="D201" t="s">
        <v>10</v>
      </c>
      <c r="E201" t="s">
        <v>78</v>
      </c>
      <c r="F201" t="s">
        <v>19</v>
      </c>
      <c r="G201" t="str">
        <f>HYPERLINK(_xlfn.CONCAT("https://tablet.otzar.org/",CHAR(35),"/book/155555/p/-1/t/1/fs/0/start/0/end/0/c"),"מגילת אסתר &lt;עקדת יצחק, מחיר יין&gt;")</f>
        <v>מגילת אסתר &lt;עקדת יצחק, מחיר יין&gt;</v>
      </c>
      <c r="H201" t="str">
        <f>_xlfn.CONCAT("https://tablet.otzar.org/",CHAR(35),"/book/155555/p/-1/t/1/fs/0/start/0/end/0/c")</f>
        <v>https://tablet.otzar.org/#/book/155555/p/-1/t/1/fs/0/start/0/end/0/c</v>
      </c>
    </row>
    <row r="202" spans="1:8" x14ac:dyDescent="0.25">
      <c r="A202">
        <v>638999</v>
      </c>
      <c r="B202" t="s">
        <v>482</v>
      </c>
      <c r="C202" t="s">
        <v>483</v>
      </c>
      <c r="D202" t="s">
        <v>10</v>
      </c>
      <c r="E202" t="s">
        <v>78</v>
      </c>
      <c r="F202" t="s">
        <v>19</v>
      </c>
      <c r="G202" t="str">
        <f>HYPERLINK(_xlfn.CONCAT("https://tablet.otzar.org/",CHAR(35),"/book/638999/p/-1/t/1/fs/0/start/0/end/0/c"),"מגילת אסתר &lt;מחיר יין&gt;")</f>
        <v>מגילת אסתר &lt;מחיר יין&gt;</v>
      </c>
      <c r="H202" t="str">
        <f>_xlfn.CONCAT("https://tablet.otzar.org/",CHAR(35),"/book/638999/p/-1/t/1/fs/0/start/0/end/0/c")</f>
        <v>https://tablet.otzar.org/#/book/638999/p/-1/t/1/fs/0/start/0/end/0/c</v>
      </c>
    </row>
    <row r="203" spans="1:8" x14ac:dyDescent="0.25">
      <c r="A203">
        <v>606714</v>
      </c>
      <c r="B203" t="s">
        <v>484</v>
      </c>
      <c r="C203" t="s">
        <v>262</v>
      </c>
      <c r="D203" t="s">
        <v>10</v>
      </c>
      <c r="E203" t="s">
        <v>83</v>
      </c>
      <c r="F203" t="s">
        <v>19</v>
      </c>
      <c r="G203" t="str">
        <f>HYPERLINK(_xlfn.CONCAT("https://tablet.otzar.org/",CHAR(35),"/exKotar/606714"),"מגילת אסתר &lt;מדה כנגד מדה&gt; - 2 כרכים")</f>
        <v>מגילת אסתר &lt;מדה כנגד מדה&gt; - 2 כרכים</v>
      </c>
      <c r="H203" t="str">
        <f>_xlfn.CONCAT("https://tablet.otzar.org/",CHAR(35),"/exKotar/606714")</f>
        <v>https://tablet.otzar.org/#/exKotar/606714</v>
      </c>
    </row>
    <row r="204" spans="1:8" x14ac:dyDescent="0.25">
      <c r="A204">
        <v>647318</v>
      </c>
      <c r="B204" t="s">
        <v>485</v>
      </c>
      <c r="C204" t="s">
        <v>486</v>
      </c>
      <c r="D204" t="s">
        <v>10</v>
      </c>
      <c r="E204" t="s">
        <v>189</v>
      </c>
      <c r="F204" t="s">
        <v>19</v>
      </c>
      <c r="G204" t="str">
        <f>HYPERLINK(_xlfn.CONCAT("https://tablet.otzar.org/",CHAR(35),"/book/647318/p/-1/t/1/fs/0/start/0/end/0/c"),"מגילת רות &lt;החסד והטוב&gt;")</f>
        <v>מגילת רות &lt;החסד והטוב&gt;</v>
      </c>
      <c r="H204" t="str">
        <f>_xlfn.CONCAT("https://tablet.otzar.org/",CHAR(35),"/book/647318/p/-1/t/1/fs/0/start/0/end/0/c")</f>
        <v>https://tablet.otzar.org/#/book/647318/p/-1/t/1/fs/0/start/0/end/0/c</v>
      </c>
    </row>
    <row r="205" spans="1:8" x14ac:dyDescent="0.25">
      <c r="A205">
        <v>155207</v>
      </c>
      <c r="B205" t="s">
        <v>487</v>
      </c>
      <c r="C205" t="s">
        <v>262</v>
      </c>
      <c r="D205" t="s">
        <v>10</v>
      </c>
      <c r="E205" t="s">
        <v>251</v>
      </c>
      <c r="F205" t="s">
        <v>488</v>
      </c>
      <c r="G205" t="str">
        <f>HYPERLINK(_xlfn.CONCAT("https://tablet.otzar.org/",CHAR(35),"/exKotar/155207"),"מדה כנגד מדה - 3 כרכים")</f>
        <v>מדה כנגד מדה - 3 כרכים</v>
      </c>
      <c r="H205" t="str">
        <f>_xlfn.CONCAT("https://tablet.otzar.org/",CHAR(35),"/exKotar/155207")</f>
        <v>https://tablet.otzar.org/#/exKotar/155207</v>
      </c>
    </row>
    <row r="206" spans="1:8" x14ac:dyDescent="0.25">
      <c r="A206">
        <v>158418</v>
      </c>
      <c r="B206" t="s">
        <v>489</v>
      </c>
      <c r="C206" t="s">
        <v>490</v>
      </c>
      <c r="D206" t="s">
        <v>10</v>
      </c>
      <c r="E206" t="s">
        <v>47</v>
      </c>
      <c r="F206" t="s">
        <v>491</v>
      </c>
      <c r="G206" t="str">
        <f>HYPERLINK(_xlfn.CONCAT("https://tablet.otzar.org/",CHAR(35),"/book/158418/p/-1/t/1/fs/0/start/0/end/0/c"),"מדין לרחמים")</f>
        <v>מדין לרחמים</v>
      </c>
      <c r="H206" t="str">
        <f>_xlfn.CONCAT("https://tablet.otzar.org/",CHAR(35),"/book/158418/p/-1/t/1/fs/0/start/0/end/0/c")</f>
        <v>https://tablet.otzar.org/#/book/158418/p/-1/t/1/fs/0/start/0/end/0/c</v>
      </c>
    </row>
    <row r="207" spans="1:8" x14ac:dyDescent="0.25">
      <c r="A207">
        <v>14055</v>
      </c>
      <c r="B207" t="s">
        <v>492</v>
      </c>
      <c r="C207" t="s">
        <v>493</v>
      </c>
      <c r="D207" t="s">
        <v>10</v>
      </c>
      <c r="E207" t="s">
        <v>172</v>
      </c>
      <c r="F207" t="s">
        <v>494</v>
      </c>
      <c r="G207" t="str">
        <f>HYPERLINK(_xlfn.CONCAT("https://tablet.otzar.org/",CHAR(35),"/book/14055/p/-1/t/1/fs/0/start/0/end/0/c"),"מדרש בראשית זוטא")</f>
        <v>מדרש בראשית זוטא</v>
      </c>
      <c r="H207" t="str">
        <f>_xlfn.CONCAT("https://tablet.otzar.org/",CHAR(35),"/book/14055/p/-1/t/1/fs/0/start/0/end/0/c")</f>
        <v>https://tablet.otzar.org/#/book/14055/p/-1/t/1/fs/0/start/0/end/0/c</v>
      </c>
    </row>
    <row r="208" spans="1:8" x14ac:dyDescent="0.25">
      <c r="A208">
        <v>154776</v>
      </c>
      <c r="B208" t="s">
        <v>495</v>
      </c>
      <c r="C208" t="s">
        <v>496</v>
      </c>
      <c r="D208" t="s">
        <v>10</v>
      </c>
      <c r="E208" t="s">
        <v>497</v>
      </c>
      <c r="F208" t="s">
        <v>498</v>
      </c>
      <c r="G208" t="str">
        <f>HYPERLINK(_xlfn.CONCAT("https://tablet.otzar.org/",CHAR(35),"/exKotar/154776"),"מדרש הגדול &lt;מוה""""ק&gt;  - 10 כרכים")</f>
        <v>מדרש הגדול &lt;מוה""ק&gt;  - 10 כרכים</v>
      </c>
      <c r="H208" t="str">
        <f>_xlfn.CONCAT("https://tablet.otzar.org/",CHAR(35),"/exKotar/154776")</f>
        <v>https://tablet.otzar.org/#/exKotar/154776</v>
      </c>
    </row>
    <row r="209" spans="1:8" x14ac:dyDescent="0.25">
      <c r="A209">
        <v>16937</v>
      </c>
      <c r="B209" t="s">
        <v>499</v>
      </c>
      <c r="C209" t="s">
        <v>500</v>
      </c>
      <c r="D209" t="s">
        <v>10</v>
      </c>
      <c r="E209" t="s">
        <v>501</v>
      </c>
      <c r="F209" t="s">
        <v>494</v>
      </c>
      <c r="G209" t="str">
        <f>HYPERLINK(_xlfn.CONCAT("https://tablet.otzar.org/",CHAR(35),"/exKotar/16937"),"מדרש החפץ - 2 כרכים")</f>
        <v>מדרש החפץ - 2 כרכים</v>
      </c>
      <c r="H209" t="str">
        <f>_xlfn.CONCAT("https://tablet.otzar.org/",CHAR(35),"/exKotar/16937")</f>
        <v>https://tablet.otzar.org/#/exKotar/16937</v>
      </c>
    </row>
    <row r="210" spans="1:8" x14ac:dyDescent="0.25">
      <c r="A210">
        <v>158446</v>
      </c>
      <c r="B210" t="s">
        <v>502</v>
      </c>
      <c r="C210" t="s">
        <v>503</v>
      </c>
      <c r="D210" t="s">
        <v>10</v>
      </c>
      <c r="E210" t="s">
        <v>504</v>
      </c>
      <c r="F210" t="s">
        <v>498</v>
      </c>
      <c r="G210" t="str">
        <f>HYPERLINK(_xlfn.CONCAT("https://tablet.otzar.org/",CHAR(35),"/exKotar/158446"),"מדרש רבי דוד הנגיד - 2 כרכים")</f>
        <v>מדרש רבי דוד הנגיד - 2 כרכים</v>
      </c>
      <c r="H210" t="str">
        <f>_xlfn.CONCAT("https://tablet.otzar.org/",CHAR(35),"/exKotar/158446")</f>
        <v>https://tablet.otzar.org/#/exKotar/158446</v>
      </c>
    </row>
    <row r="211" spans="1:8" x14ac:dyDescent="0.25">
      <c r="A211">
        <v>155130</v>
      </c>
      <c r="B211" t="s">
        <v>505</v>
      </c>
      <c r="C211" t="s">
        <v>506</v>
      </c>
      <c r="D211" t="s">
        <v>10</v>
      </c>
      <c r="E211" t="s">
        <v>507</v>
      </c>
      <c r="F211" t="s">
        <v>19</v>
      </c>
      <c r="G211" t="str">
        <f>HYPERLINK(_xlfn.CONCAT("https://tablet.otzar.org/",CHAR(35),"/book/155130/p/-1/t/1/fs/0/start/0/end/0/c"),"מדרש תנאים לבראשית")</f>
        <v>מדרש תנאים לבראשית</v>
      </c>
      <c r="H211" t="str">
        <f>_xlfn.CONCAT("https://tablet.otzar.org/",CHAR(35),"/book/155130/p/-1/t/1/fs/0/start/0/end/0/c")</f>
        <v>https://tablet.otzar.org/#/book/155130/p/-1/t/1/fs/0/start/0/end/0/c</v>
      </c>
    </row>
    <row r="212" spans="1:8" x14ac:dyDescent="0.25">
      <c r="A212">
        <v>155208</v>
      </c>
      <c r="B212" t="s">
        <v>508</v>
      </c>
      <c r="C212" t="s">
        <v>509</v>
      </c>
      <c r="D212" t="s">
        <v>10</v>
      </c>
      <c r="E212" t="s">
        <v>139</v>
      </c>
      <c r="F212" t="s">
        <v>12</v>
      </c>
      <c r="G212" t="str">
        <f>HYPERLINK(_xlfn.CONCAT("https://tablet.otzar.org/",CHAR(35),"/book/155208/p/-1/t/1/fs/0/start/0/end/0/c"),"מהר""""ץ חיות")</f>
        <v>מהר""ץ חיות</v>
      </c>
      <c r="H212" t="str">
        <f>_xlfn.CONCAT("https://tablet.otzar.org/",CHAR(35),"/book/155208/p/-1/t/1/fs/0/start/0/end/0/c")</f>
        <v>https://tablet.otzar.org/#/book/155208/p/-1/t/1/fs/0/start/0/end/0/c</v>
      </c>
    </row>
    <row r="213" spans="1:8" x14ac:dyDescent="0.25">
      <c r="A213">
        <v>157047</v>
      </c>
      <c r="B213" t="s">
        <v>510</v>
      </c>
      <c r="C213" t="s">
        <v>511</v>
      </c>
      <c r="D213" t="s">
        <v>10</v>
      </c>
      <c r="E213" t="s">
        <v>512</v>
      </c>
      <c r="G213" t="str">
        <f>HYPERLINK(_xlfn.CONCAT("https://tablet.otzar.org/",CHAR(35),"/book/157047/p/-1/t/1/fs/0/start/0/end/0/c"),"מוסר המקרא והתלמוד")</f>
        <v>מוסר המקרא והתלמוד</v>
      </c>
      <c r="H213" t="str">
        <f>_xlfn.CONCAT("https://tablet.otzar.org/",CHAR(35),"/book/157047/p/-1/t/1/fs/0/start/0/end/0/c")</f>
        <v>https://tablet.otzar.org/#/book/157047/p/-1/t/1/fs/0/start/0/end/0/c</v>
      </c>
    </row>
    <row r="214" spans="1:8" x14ac:dyDescent="0.25">
      <c r="A214">
        <v>170004</v>
      </c>
      <c r="B214" t="s">
        <v>513</v>
      </c>
      <c r="C214" t="s">
        <v>63</v>
      </c>
      <c r="D214" t="s">
        <v>10</v>
      </c>
      <c r="E214" t="s">
        <v>124</v>
      </c>
      <c r="F214" t="s">
        <v>190</v>
      </c>
      <c r="G214" t="str">
        <f>HYPERLINK(_xlfn.CONCAT("https://tablet.otzar.org/",CHAR(35),"/book/170004/p/-1/t/1/fs/0/start/0/end/0/c"),"מועדי קדשך")</f>
        <v>מועדי קדשך</v>
      </c>
      <c r="H214" t="str">
        <f>_xlfn.CONCAT("https://tablet.otzar.org/",CHAR(35),"/book/170004/p/-1/t/1/fs/0/start/0/end/0/c")</f>
        <v>https://tablet.otzar.org/#/book/170004/p/-1/t/1/fs/0/start/0/end/0/c</v>
      </c>
    </row>
    <row r="215" spans="1:8" x14ac:dyDescent="0.25">
      <c r="A215">
        <v>155290</v>
      </c>
      <c r="B215" t="s">
        <v>514</v>
      </c>
      <c r="C215" t="s">
        <v>317</v>
      </c>
      <c r="D215" t="s">
        <v>10</v>
      </c>
      <c r="E215" t="s">
        <v>507</v>
      </c>
      <c r="F215" t="s">
        <v>186</v>
      </c>
      <c r="G215" t="str">
        <f>HYPERLINK(_xlfn.CONCAT("https://tablet.otzar.org/",CHAR(35),"/book/155290/p/-1/t/1/fs/0/start/0/end/0/c"),"מורה הנבוכים &lt;מוה""""ק&gt;")</f>
        <v>מורה הנבוכים &lt;מוה""ק&gt;</v>
      </c>
      <c r="H215" t="str">
        <f>_xlfn.CONCAT("https://tablet.otzar.org/",CHAR(35),"/book/155290/p/-1/t/1/fs/0/start/0/end/0/c")</f>
        <v>https://tablet.otzar.org/#/book/155290/p/-1/t/1/fs/0/start/0/end/0/c</v>
      </c>
    </row>
    <row r="216" spans="1:8" x14ac:dyDescent="0.25">
      <c r="A216">
        <v>158009</v>
      </c>
      <c r="B216" t="s">
        <v>515</v>
      </c>
      <c r="C216" t="s">
        <v>317</v>
      </c>
      <c r="D216" t="s">
        <v>10</v>
      </c>
      <c r="E216" t="s">
        <v>30</v>
      </c>
      <c r="F216" t="s">
        <v>186</v>
      </c>
      <c r="G216" t="str">
        <f>HYPERLINK(_xlfn.CONCAT("https://tablet.otzar.org/",CHAR(35),"/exKotar/158009"),"מורה הנבוכים &lt;מקור ותרגום&gt;  - 3 כרכים")</f>
        <v>מורה הנבוכים &lt;מקור ותרגום&gt;  - 3 כרכים</v>
      </c>
      <c r="H216" t="str">
        <f>_xlfn.CONCAT("https://tablet.otzar.org/",CHAR(35),"/exKotar/158009")</f>
        <v>https://tablet.otzar.org/#/exKotar/158009</v>
      </c>
    </row>
    <row r="217" spans="1:8" x14ac:dyDescent="0.25">
      <c r="A217">
        <v>155072</v>
      </c>
      <c r="B217" t="s">
        <v>516</v>
      </c>
      <c r="C217" t="s">
        <v>317</v>
      </c>
      <c r="D217" t="s">
        <v>10</v>
      </c>
      <c r="E217" t="s">
        <v>327</v>
      </c>
      <c r="F217" t="s">
        <v>186</v>
      </c>
      <c r="G217" t="str">
        <f>HYPERLINK(_xlfn.CONCAT("https://tablet.otzar.org/",CHAR(35),"/exKotar/155072"),"מורה נבוכים &lt;מוה""""ק&gt;  - 4 כרכים")</f>
        <v>מורה נבוכים &lt;מוה""ק&gt;  - 4 כרכים</v>
      </c>
      <c r="H217" t="str">
        <f>_xlfn.CONCAT("https://tablet.otzar.org/",CHAR(35),"/exKotar/155072")</f>
        <v>https://tablet.otzar.org/#/exKotar/155072</v>
      </c>
    </row>
    <row r="218" spans="1:8" x14ac:dyDescent="0.25">
      <c r="A218">
        <v>155276</v>
      </c>
      <c r="B218" t="s">
        <v>517</v>
      </c>
      <c r="C218" t="s">
        <v>518</v>
      </c>
      <c r="D218" t="s">
        <v>10</v>
      </c>
      <c r="E218" t="s">
        <v>327</v>
      </c>
      <c r="F218" t="s">
        <v>186</v>
      </c>
      <c r="G218" t="str">
        <f>HYPERLINK(_xlfn.CONCAT("https://tablet.otzar.org/",CHAR(35),"/book/155276/p/-1/t/1/fs/0/start/0/end/0/c"),"מורה נבוכים לרמב""""ם על התורה")</f>
        <v>מורה נבוכים לרמב""ם על התורה</v>
      </c>
      <c r="H218" t="str">
        <f>_xlfn.CONCAT("https://tablet.otzar.org/",CHAR(35),"/book/155276/p/-1/t/1/fs/0/start/0/end/0/c")</f>
        <v>https://tablet.otzar.org/#/book/155276/p/-1/t/1/fs/0/start/0/end/0/c</v>
      </c>
    </row>
    <row r="219" spans="1:8" x14ac:dyDescent="0.25">
      <c r="A219">
        <v>601671</v>
      </c>
      <c r="B219" t="s">
        <v>519</v>
      </c>
      <c r="C219" t="s">
        <v>317</v>
      </c>
      <c r="D219" t="s">
        <v>10</v>
      </c>
      <c r="E219" t="s">
        <v>127</v>
      </c>
      <c r="G219" t="str">
        <f>HYPERLINK(_xlfn.CONCAT("https://tablet.otzar.org/",CHAR(35),"/book/601671/p/-1/t/1/fs/0/start/0/end/0/c"),"מורה נבוכים על התורה (באנגלית)")</f>
        <v>מורה נבוכים על התורה (באנגלית)</v>
      </c>
      <c r="H219" t="str">
        <f>_xlfn.CONCAT("https://tablet.otzar.org/",CHAR(35),"/book/601671/p/-1/t/1/fs/0/start/0/end/0/c")</f>
        <v>https://tablet.otzar.org/#/book/601671/p/-1/t/1/fs/0/start/0/end/0/c</v>
      </c>
    </row>
    <row r="220" spans="1:8" x14ac:dyDescent="0.25">
      <c r="A220">
        <v>156998</v>
      </c>
      <c r="B220" t="s">
        <v>520</v>
      </c>
      <c r="C220" t="s">
        <v>521</v>
      </c>
      <c r="D220" t="s">
        <v>10</v>
      </c>
      <c r="E220" t="s">
        <v>291</v>
      </c>
      <c r="F220" t="s">
        <v>72</v>
      </c>
      <c r="G220" t="str">
        <f>HYPERLINK(_xlfn.CONCAT("https://tablet.otzar.org/",CHAR(35),"/book/156998/p/-1/t/1/fs/0/start/0/end/0/c"),"מורשת משה")</f>
        <v>מורשת משה</v>
      </c>
      <c r="H220" t="str">
        <f>_xlfn.CONCAT("https://tablet.otzar.org/",CHAR(35),"/book/156998/p/-1/t/1/fs/0/start/0/end/0/c")</f>
        <v>https://tablet.otzar.org/#/book/156998/p/-1/t/1/fs/0/start/0/end/0/c</v>
      </c>
    </row>
    <row r="221" spans="1:8" x14ac:dyDescent="0.25">
      <c r="A221">
        <v>638053</v>
      </c>
      <c r="B221" t="s">
        <v>522</v>
      </c>
      <c r="C221" t="s">
        <v>523</v>
      </c>
      <c r="D221" t="s">
        <v>10</v>
      </c>
      <c r="E221" t="s">
        <v>38</v>
      </c>
      <c r="G221" t="str">
        <f>HYPERLINK(_xlfn.CONCAT("https://tablet.otzar.org/",CHAR(35),"/exKotar/638053"),"מחזור שיח בשדה - 2 כרכים")</f>
        <v>מחזור שיח בשדה - 2 כרכים</v>
      </c>
      <c r="H221" t="str">
        <f>_xlfn.CONCAT("https://tablet.otzar.org/",CHAR(35),"/exKotar/638053")</f>
        <v>https://tablet.otzar.org/#/exKotar/638053</v>
      </c>
    </row>
    <row r="222" spans="1:8" x14ac:dyDescent="0.25">
      <c r="A222">
        <v>15163</v>
      </c>
      <c r="B222" t="s">
        <v>524</v>
      </c>
      <c r="C222" t="s">
        <v>329</v>
      </c>
      <c r="D222" t="s">
        <v>10</v>
      </c>
      <c r="E222" t="s">
        <v>274</v>
      </c>
      <c r="F222" t="s">
        <v>525</v>
      </c>
      <c r="G222" t="str">
        <f>HYPERLINK(_xlfn.CONCAT("https://tablet.otzar.org/",CHAR(35),"/book/15163/p/-1/t/1/fs/0/start/0/end/0/c"),"מחקרים בדרכי התלמוד וחידותיו - עוללות")</f>
        <v>מחקרים בדרכי התלמוד וחידותיו - עוללות</v>
      </c>
      <c r="H222" t="str">
        <f>_xlfn.CONCAT("https://tablet.otzar.org/",CHAR(35),"/book/15163/p/-1/t/1/fs/0/start/0/end/0/c")</f>
        <v>https://tablet.otzar.org/#/book/15163/p/-1/t/1/fs/0/start/0/end/0/c</v>
      </c>
    </row>
    <row r="223" spans="1:8" x14ac:dyDescent="0.25">
      <c r="A223">
        <v>157013</v>
      </c>
      <c r="B223" t="s">
        <v>526</v>
      </c>
      <c r="C223" t="s">
        <v>527</v>
      </c>
      <c r="D223" t="s">
        <v>10</v>
      </c>
      <c r="E223" t="s">
        <v>279</v>
      </c>
      <c r="F223" t="s">
        <v>31</v>
      </c>
      <c r="G223" t="str">
        <f>HYPERLINK(_xlfn.CONCAT("https://tablet.otzar.org/",CHAR(35),"/book/157013/p/-1/t/1/fs/0/start/0/end/0/c"),"מחקרים בספרות התשובות")</f>
        <v>מחקרים בספרות התשובות</v>
      </c>
      <c r="H223" t="str">
        <f>_xlfn.CONCAT("https://tablet.otzar.org/",CHAR(35),"/book/157013/p/-1/t/1/fs/0/start/0/end/0/c")</f>
        <v>https://tablet.otzar.org/#/book/157013/p/-1/t/1/fs/0/start/0/end/0/c</v>
      </c>
    </row>
    <row r="224" spans="1:8" x14ac:dyDescent="0.25">
      <c r="A224">
        <v>156193</v>
      </c>
      <c r="B224" t="s">
        <v>528</v>
      </c>
      <c r="C224" t="s">
        <v>529</v>
      </c>
      <c r="D224" t="s">
        <v>10</v>
      </c>
      <c r="E224" t="s">
        <v>365</v>
      </c>
      <c r="F224" t="s">
        <v>110</v>
      </c>
      <c r="G224" t="str">
        <f>HYPERLINK(_xlfn.CONCAT("https://tablet.otzar.org/",CHAR(35),"/book/156193/p/-1/t/1/fs/0/start/0/end/0/c"),"מחקרים בתולדות היהודים בארץ ישראל ובארצות המזרח")</f>
        <v>מחקרים בתולדות היהודים בארץ ישראל ובארצות המזרח</v>
      </c>
      <c r="H224" t="str">
        <f>_xlfn.CONCAT("https://tablet.otzar.org/",CHAR(35),"/book/156193/p/-1/t/1/fs/0/start/0/end/0/c")</f>
        <v>https://tablet.otzar.org/#/book/156193/p/-1/t/1/fs/0/start/0/end/0/c</v>
      </c>
    </row>
    <row r="225" spans="1:8" x14ac:dyDescent="0.25">
      <c r="A225">
        <v>169985</v>
      </c>
      <c r="B225" t="s">
        <v>530</v>
      </c>
      <c r="C225" t="s">
        <v>531</v>
      </c>
      <c r="D225" t="s">
        <v>10</v>
      </c>
      <c r="E225" t="s">
        <v>238</v>
      </c>
      <c r="F225" t="s">
        <v>152</v>
      </c>
      <c r="G225" t="str">
        <f>HYPERLINK(_xlfn.CONCAT("https://tablet.otzar.org/",CHAR(35),"/book/169985/p/-1/t/1/fs/0/start/0/end/0/c"),"מי באר - מסכת שבועות")</f>
        <v>מי באר - מסכת שבועות</v>
      </c>
      <c r="H225" t="str">
        <f>_xlfn.CONCAT("https://tablet.otzar.org/",CHAR(35),"/book/169985/p/-1/t/1/fs/0/start/0/end/0/c")</f>
        <v>https://tablet.otzar.org/#/book/169985/p/-1/t/1/fs/0/start/0/end/0/c</v>
      </c>
    </row>
    <row r="226" spans="1:8" x14ac:dyDescent="0.25">
      <c r="A226">
        <v>155117</v>
      </c>
      <c r="B226" t="s">
        <v>532</v>
      </c>
      <c r="C226" t="s">
        <v>533</v>
      </c>
      <c r="D226" t="s">
        <v>10</v>
      </c>
      <c r="E226" t="s">
        <v>291</v>
      </c>
      <c r="F226" t="s">
        <v>31</v>
      </c>
      <c r="G226" t="str">
        <f>HYPERLINK(_xlfn.CONCAT("https://tablet.otzar.org/",CHAR(35),"/exKotar/155117"),"מכלול המאמרים והפתגמים - 2 כרכים")</f>
        <v>מכלול המאמרים והפתגמים - 2 כרכים</v>
      </c>
      <c r="H226" t="str">
        <f>_xlfn.CONCAT("https://tablet.otzar.org/",CHAR(35),"/exKotar/155117")</f>
        <v>https://tablet.otzar.org/#/exKotar/155117</v>
      </c>
    </row>
    <row r="227" spans="1:8" x14ac:dyDescent="0.25">
      <c r="A227">
        <v>155246</v>
      </c>
      <c r="B227" t="s">
        <v>534</v>
      </c>
      <c r="C227" t="s">
        <v>329</v>
      </c>
      <c r="D227" t="s">
        <v>10</v>
      </c>
      <c r="E227" t="s">
        <v>177</v>
      </c>
      <c r="F227" t="s">
        <v>535</v>
      </c>
      <c r="G227" t="str">
        <f>HYPERLINK(_xlfn.CONCAT("https://tablet.otzar.org/",CHAR(35),"/book/155246/p/-1/t/1/fs/0/start/0/end/0/c"),"מלאכי עליון")</f>
        <v>מלאכי עליון</v>
      </c>
      <c r="H227" t="str">
        <f>_xlfn.CONCAT("https://tablet.otzar.org/",CHAR(35),"/book/155246/p/-1/t/1/fs/0/start/0/end/0/c")</f>
        <v>https://tablet.otzar.org/#/book/155246/p/-1/t/1/fs/0/start/0/end/0/c</v>
      </c>
    </row>
    <row r="228" spans="1:8" x14ac:dyDescent="0.25">
      <c r="A228">
        <v>157336</v>
      </c>
      <c r="B228" t="s">
        <v>536</v>
      </c>
      <c r="C228" t="s">
        <v>317</v>
      </c>
      <c r="D228" t="s">
        <v>10</v>
      </c>
      <c r="E228" t="s">
        <v>47</v>
      </c>
      <c r="F228" t="s">
        <v>31</v>
      </c>
      <c r="G228" t="str">
        <f>HYPERLINK(_xlfn.CONCAT("https://tablet.otzar.org/",CHAR(35),"/book/157336/p/-1/t/1/fs/0/start/0/end/0/c"),"מלות ההגיון")</f>
        <v>מלות ההגיון</v>
      </c>
      <c r="H228" t="str">
        <f>_xlfn.CONCAT("https://tablet.otzar.org/",CHAR(35),"/book/157336/p/-1/t/1/fs/0/start/0/end/0/c")</f>
        <v>https://tablet.otzar.org/#/book/157336/p/-1/t/1/fs/0/start/0/end/0/c</v>
      </c>
    </row>
    <row r="229" spans="1:8" x14ac:dyDescent="0.25">
      <c r="A229">
        <v>155211</v>
      </c>
      <c r="B229" t="s">
        <v>537</v>
      </c>
      <c r="C229" t="s">
        <v>538</v>
      </c>
      <c r="D229" t="s">
        <v>10</v>
      </c>
      <c r="E229" t="s">
        <v>479</v>
      </c>
      <c r="F229" t="s">
        <v>186</v>
      </c>
      <c r="G229" t="str">
        <f>HYPERLINK(_xlfn.CONCAT("https://tablet.otzar.org/",CHAR(35),"/book/155211/p/-1/t/1/fs/0/start/0/end/0/c"),"מלחמות השם")</f>
        <v>מלחמות השם</v>
      </c>
      <c r="H229" t="str">
        <f>_xlfn.CONCAT("https://tablet.otzar.org/",CHAR(35),"/book/155211/p/-1/t/1/fs/0/start/0/end/0/c")</f>
        <v>https://tablet.otzar.org/#/book/155211/p/-1/t/1/fs/0/start/0/end/0/c</v>
      </c>
    </row>
    <row r="230" spans="1:8" x14ac:dyDescent="0.25">
      <c r="A230">
        <v>194433</v>
      </c>
      <c r="B230" t="s">
        <v>539</v>
      </c>
      <c r="C230" t="s">
        <v>540</v>
      </c>
      <c r="D230" t="s">
        <v>10</v>
      </c>
      <c r="E230" t="s">
        <v>57</v>
      </c>
      <c r="F230" t="s">
        <v>19</v>
      </c>
      <c r="G230" t="str">
        <f>HYPERLINK(_xlfn.CONCAT("https://tablet.otzar.org/",CHAR(35),"/book/194433/p/-1/t/1/fs/0/start/0/end/0/c"),"ממך אליך אברח")</f>
        <v>ממך אליך אברח</v>
      </c>
      <c r="H230" t="str">
        <f>_xlfn.CONCAT("https://tablet.otzar.org/",CHAR(35),"/book/194433/p/-1/t/1/fs/0/start/0/end/0/c")</f>
        <v>https://tablet.otzar.org/#/book/194433/p/-1/t/1/fs/0/start/0/end/0/c</v>
      </c>
    </row>
    <row r="231" spans="1:8" x14ac:dyDescent="0.25">
      <c r="A231">
        <v>156994</v>
      </c>
      <c r="B231" t="s">
        <v>541</v>
      </c>
      <c r="C231" t="s">
        <v>542</v>
      </c>
      <c r="D231" t="s">
        <v>10</v>
      </c>
      <c r="E231" t="s">
        <v>144</v>
      </c>
      <c r="G231" t="str">
        <f>HYPERLINK(_xlfn.CONCAT("https://tablet.otzar.org/",CHAR(35),"/exKotar/156994"),"ממשנתם של חכמי פראג - 2 כרכים")</f>
        <v>ממשנתם של חכמי פראג - 2 כרכים</v>
      </c>
      <c r="H231" t="str">
        <f>_xlfn.CONCAT("https://tablet.otzar.org/",CHAR(35),"/exKotar/156994")</f>
        <v>https://tablet.otzar.org/#/exKotar/156994</v>
      </c>
    </row>
    <row r="232" spans="1:8" x14ac:dyDescent="0.25">
      <c r="A232">
        <v>155567</v>
      </c>
      <c r="B232" t="s">
        <v>543</v>
      </c>
      <c r="C232" t="s">
        <v>544</v>
      </c>
      <c r="D232" t="s">
        <v>10</v>
      </c>
      <c r="E232" t="s">
        <v>408</v>
      </c>
      <c r="F232" t="s">
        <v>110</v>
      </c>
      <c r="G232" t="str">
        <f>HYPERLINK(_xlfn.CONCAT("https://tablet.otzar.org/",CHAR(35),"/book/155567/p/-1/t/1/fs/0/start/0/end/0/c"),"מן המצר קראתי")</f>
        <v>מן המצר קראתי</v>
      </c>
      <c r="H232" t="str">
        <f>_xlfn.CONCAT("https://tablet.otzar.org/",CHAR(35),"/book/155567/p/-1/t/1/fs/0/start/0/end/0/c")</f>
        <v>https://tablet.otzar.org/#/book/155567/p/-1/t/1/fs/0/start/0/end/0/c</v>
      </c>
    </row>
    <row r="233" spans="1:8" x14ac:dyDescent="0.25">
      <c r="A233">
        <v>155308</v>
      </c>
      <c r="B233" t="s">
        <v>545</v>
      </c>
      <c r="C233" t="s">
        <v>546</v>
      </c>
      <c r="D233" t="s">
        <v>10</v>
      </c>
      <c r="E233" t="s">
        <v>135</v>
      </c>
      <c r="F233" t="s">
        <v>72</v>
      </c>
      <c r="G233" t="str">
        <f>HYPERLINK(_xlfn.CONCAT("https://tablet.otzar.org/",CHAR(35),"/book/155308/p/-1/t/1/fs/0/start/0/end/0/c"),"מנהגי ארץ ישראל")</f>
        <v>מנהגי ארץ ישראל</v>
      </c>
      <c r="H233" t="str">
        <f>_xlfn.CONCAT("https://tablet.otzar.org/",CHAR(35),"/book/155308/p/-1/t/1/fs/0/start/0/end/0/c")</f>
        <v>https://tablet.otzar.org/#/book/155308/p/-1/t/1/fs/0/start/0/end/0/c</v>
      </c>
    </row>
    <row r="234" spans="1:8" x14ac:dyDescent="0.25">
      <c r="A234">
        <v>155282</v>
      </c>
      <c r="B234" t="s">
        <v>547</v>
      </c>
      <c r="C234" t="s">
        <v>548</v>
      </c>
      <c r="D234" t="s">
        <v>10</v>
      </c>
      <c r="E234" t="s">
        <v>291</v>
      </c>
      <c r="F234" t="s">
        <v>72</v>
      </c>
      <c r="G234" t="str">
        <f>HYPERLINK(_xlfn.CONCAT("https://tablet.otzar.org/",CHAR(35),"/book/155282/p/-1/t/1/fs/0/start/0/end/0/c"),"מנורת המאור &lt;מוה""""ק&gt;")</f>
        <v>מנורת המאור &lt;מוה""ק&gt;</v>
      </c>
      <c r="H234" t="str">
        <f>_xlfn.CONCAT("https://tablet.otzar.org/",CHAR(35),"/book/155282/p/-1/t/1/fs/0/start/0/end/0/c")</f>
        <v>https://tablet.otzar.org/#/book/155282/p/-1/t/1/fs/0/start/0/end/0/c</v>
      </c>
    </row>
    <row r="235" spans="1:8" x14ac:dyDescent="0.25">
      <c r="A235">
        <v>170007</v>
      </c>
      <c r="B235" t="s">
        <v>549</v>
      </c>
      <c r="C235" t="s">
        <v>550</v>
      </c>
      <c r="D235" t="s">
        <v>10</v>
      </c>
      <c r="E235" t="s">
        <v>124</v>
      </c>
      <c r="F235" t="s">
        <v>19</v>
      </c>
      <c r="G235" t="str">
        <f>HYPERLINK(_xlfn.CONCAT("https://tablet.otzar.org/",CHAR(35),"/book/170007/p/-1/t/1/fs/0/start/0/end/0/c"),"מנחת יהודה - א (בראשית)")</f>
        <v>מנחת יהודה - א (בראשית)</v>
      </c>
      <c r="H235" t="str">
        <f>_xlfn.CONCAT("https://tablet.otzar.org/",CHAR(35),"/book/170007/p/-1/t/1/fs/0/start/0/end/0/c")</f>
        <v>https://tablet.otzar.org/#/book/170007/p/-1/t/1/fs/0/start/0/end/0/c</v>
      </c>
    </row>
    <row r="236" spans="1:8" x14ac:dyDescent="0.25">
      <c r="A236">
        <v>155229</v>
      </c>
      <c r="B236" t="s">
        <v>551</v>
      </c>
      <c r="C236" t="s">
        <v>552</v>
      </c>
      <c r="D236" t="s">
        <v>10</v>
      </c>
      <c r="E236" t="s">
        <v>251</v>
      </c>
      <c r="F236" t="s">
        <v>152</v>
      </c>
      <c r="G236" t="str">
        <f>HYPERLINK(_xlfn.CONCAT("https://tablet.otzar.org/",CHAR(35),"/exKotar/155229"),"מנחת פתים &lt;מוה""""ק&gt;  - 2 כרכים")</f>
        <v>מנחת פתים &lt;מוה""ק&gt;  - 2 כרכים</v>
      </c>
      <c r="H236" t="str">
        <f>_xlfn.CONCAT("https://tablet.otzar.org/",CHAR(35),"/exKotar/155229")</f>
        <v>https://tablet.otzar.org/#/exKotar/155229</v>
      </c>
    </row>
    <row r="237" spans="1:8" x14ac:dyDescent="0.25">
      <c r="A237">
        <v>156244</v>
      </c>
      <c r="B237" t="s">
        <v>553</v>
      </c>
      <c r="C237" t="s">
        <v>554</v>
      </c>
      <c r="D237" t="s">
        <v>10</v>
      </c>
      <c r="E237" t="s">
        <v>555</v>
      </c>
      <c r="F237" t="s">
        <v>31</v>
      </c>
      <c r="G237" t="str">
        <f>HYPERLINK(_xlfn.CONCAT("https://tablet.otzar.org/",CHAR(35),"/book/156244/p/-1/t/1/fs/0/start/0/end/0/c"),"מסות ומסעות")</f>
        <v>מסות ומסעות</v>
      </c>
      <c r="H237" t="str">
        <f>_xlfn.CONCAT("https://tablet.otzar.org/",CHAR(35),"/book/156244/p/-1/t/1/fs/0/start/0/end/0/c")</f>
        <v>https://tablet.otzar.org/#/book/156244/p/-1/t/1/fs/0/start/0/end/0/c</v>
      </c>
    </row>
    <row r="238" spans="1:8" x14ac:dyDescent="0.25">
      <c r="A238">
        <v>155289</v>
      </c>
      <c r="B238" t="s">
        <v>556</v>
      </c>
      <c r="C238" t="s">
        <v>557</v>
      </c>
      <c r="D238" t="s">
        <v>10</v>
      </c>
      <c r="E238" t="s">
        <v>41</v>
      </c>
      <c r="F238" t="s">
        <v>186</v>
      </c>
      <c r="G238" t="str">
        <f>HYPERLINK(_xlfn.CONCAT("https://tablet.otzar.org/",CHAR(35),"/book/155289/p/-1/t/1/fs/0/start/0/end/0/c"),"מסילת ישרים עם ביאורים ישרים")</f>
        <v>מסילת ישרים עם ביאורים ישרים</v>
      </c>
      <c r="H238" t="str">
        <f>_xlfn.CONCAT("https://tablet.otzar.org/",CHAR(35),"/book/155289/p/-1/t/1/fs/0/start/0/end/0/c")</f>
        <v>https://tablet.otzar.org/#/book/155289/p/-1/t/1/fs/0/start/0/end/0/c</v>
      </c>
    </row>
    <row r="239" spans="1:8" x14ac:dyDescent="0.25">
      <c r="A239">
        <v>155547</v>
      </c>
      <c r="B239" t="s">
        <v>558</v>
      </c>
      <c r="C239" t="s">
        <v>559</v>
      </c>
      <c r="D239" t="s">
        <v>10</v>
      </c>
      <c r="E239" t="s">
        <v>41</v>
      </c>
      <c r="F239" t="s">
        <v>186</v>
      </c>
      <c r="G239" t="str">
        <f>HYPERLINK(_xlfn.CONCAT("https://tablet.otzar.org/",CHAR(35),"/book/155547/p/-1/t/1/fs/0/start/0/end/0/c"),"מסילת ישרים עם פירוש מסילות יהודה")</f>
        <v>מסילת ישרים עם פירוש מסילות יהודה</v>
      </c>
      <c r="H239" t="str">
        <f>_xlfn.CONCAT("https://tablet.otzar.org/",CHAR(35),"/book/155547/p/-1/t/1/fs/0/start/0/end/0/c")</f>
        <v>https://tablet.otzar.org/#/book/155547/p/-1/t/1/fs/0/start/0/end/0/c</v>
      </c>
    </row>
    <row r="240" spans="1:8" x14ac:dyDescent="0.25">
      <c r="A240">
        <v>677767</v>
      </c>
      <c r="B240" t="s">
        <v>560</v>
      </c>
      <c r="C240" t="s">
        <v>25</v>
      </c>
      <c r="D240" t="s">
        <v>10</v>
      </c>
      <c r="E240" t="s">
        <v>244</v>
      </c>
      <c r="F240" t="s">
        <v>561</v>
      </c>
      <c r="G240" t="str">
        <f>HYPERLINK(_xlfn.CONCAT("https://tablet.otzar.org/",CHAR(35),"/book/677767/p/-1/t/1/fs/0/start/0/end/0/c"),"מסכת אבות עם פירוש רש""""ר הירש")</f>
        <v>מסכת אבות עם פירוש רש""ר הירש</v>
      </c>
      <c r="H240" t="str">
        <f>_xlfn.CONCAT("https://tablet.otzar.org/",CHAR(35),"/book/677767/p/-1/t/1/fs/0/start/0/end/0/c")</f>
        <v>https://tablet.otzar.org/#/book/677767/p/-1/t/1/fs/0/start/0/end/0/c</v>
      </c>
    </row>
    <row r="241" spans="1:8" x14ac:dyDescent="0.25">
      <c r="A241">
        <v>158423</v>
      </c>
      <c r="B241" t="s">
        <v>562</v>
      </c>
      <c r="C241" t="s">
        <v>563</v>
      </c>
      <c r="D241" t="s">
        <v>10</v>
      </c>
      <c r="E241" t="s">
        <v>18</v>
      </c>
      <c r="F241" t="s">
        <v>31</v>
      </c>
      <c r="G241" t="str">
        <f>HYPERLINK(_xlfn.CONCAT("https://tablet.otzar.org/",CHAR(35),"/exKotar/158423"),"מערכות האמוראים - 3 כרכים")</f>
        <v>מערכות האמוראים - 3 כרכים</v>
      </c>
      <c r="H241" t="str">
        <f>_xlfn.CONCAT("https://tablet.otzar.org/",CHAR(35),"/exKotar/158423")</f>
        <v>https://tablet.otzar.org/#/exKotar/158423</v>
      </c>
    </row>
    <row r="242" spans="1:8" x14ac:dyDescent="0.25">
      <c r="A242">
        <v>158414</v>
      </c>
      <c r="B242" t="s">
        <v>564</v>
      </c>
      <c r="C242" t="s">
        <v>563</v>
      </c>
      <c r="D242" t="s">
        <v>10</v>
      </c>
      <c r="E242" t="s">
        <v>15</v>
      </c>
      <c r="F242" t="s">
        <v>31</v>
      </c>
      <c r="G242" t="str">
        <f>HYPERLINK(_xlfn.CONCAT("https://tablet.otzar.org/",CHAR(35),"/exKotar/158414"),"מערכות תנאים - 12 כרכים")</f>
        <v>מערכות תנאים - 12 כרכים</v>
      </c>
      <c r="H242" t="str">
        <f>_xlfn.CONCAT("https://tablet.otzar.org/",CHAR(35),"/exKotar/158414")</f>
        <v>https://tablet.otzar.org/#/exKotar/158414</v>
      </c>
    </row>
    <row r="243" spans="1:8" x14ac:dyDescent="0.25">
      <c r="A243">
        <v>155568</v>
      </c>
      <c r="B243" t="s">
        <v>565</v>
      </c>
      <c r="C243" t="s">
        <v>566</v>
      </c>
      <c r="D243" t="s">
        <v>10</v>
      </c>
      <c r="E243" t="s">
        <v>257</v>
      </c>
      <c r="F243" t="s">
        <v>72</v>
      </c>
      <c r="G243" t="str">
        <f>HYPERLINK(_xlfn.CONCAT("https://tablet.otzar.org/",CHAR(35),"/book/155568/p/-1/t/1/fs/0/start/0/end/0/c"),"מערכי לב")</f>
        <v>מערכי לב</v>
      </c>
      <c r="H243" t="str">
        <f>_xlfn.CONCAT("https://tablet.otzar.org/",CHAR(35),"/book/155568/p/-1/t/1/fs/0/start/0/end/0/c")</f>
        <v>https://tablet.otzar.org/#/book/155568/p/-1/t/1/fs/0/start/0/end/0/c</v>
      </c>
    </row>
    <row r="244" spans="1:8" x14ac:dyDescent="0.25">
      <c r="A244">
        <v>157015</v>
      </c>
      <c r="B244" t="s">
        <v>567</v>
      </c>
      <c r="C244" t="s">
        <v>568</v>
      </c>
      <c r="D244" t="s">
        <v>10</v>
      </c>
      <c r="E244" t="s">
        <v>365</v>
      </c>
      <c r="G244" t="str">
        <f>HYPERLINK(_xlfn.CONCAT("https://tablet.otzar.org/",CHAR(35),"/book/157015/p/-1/t/1/fs/0/start/0/end/0/c"),"מעשה הבא בעבירה")</f>
        <v>מעשה הבא בעבירה</v>
      </c>
      <c r="H244" t="str">
        <f>_xlfn.CONCAT("https://tablet.otzar.org/",CHAR(35),"/book/157015/p/-1/t/1/fs/0/start/0/end/0/c")</f>
        <v>https://tablet.otzar.org/#/book/157015/p/-1/t/1/fs/0/start/0/end/0/c</v>
      </c>
    </row>
    <row r="245" spans="1:8" x14ac:dyDescent="0.25">
      <c r="A245">
        <v>601675</v>
      </c>
      <c r="B245" t="s">
        <v>569</v>
      </c>
      <c r="C245" t="s">
        <v>570</v>
      </c>
      <c r="D245" t="s">
        <v>10</v>
      </c>
      <c r="E245" t="s">
        <v>127</v>
      </c>
      <c r="G245" t="str">
        <f>HYPERLINK(_xlfn.CONCAT("https://tablet.otzar.org/",CHAR(35),"/book/601675/p/-1/t/1/fs/0/start/0/end/0/c"),"מעשה רב &lt;מוה""""ק&gt;")</f>
        <v>מעשה רב &lt;מוה""ק&gt;</v>
      </c>
      <c r="H245" t="str">
        <f>_xlfn.CONCAT("https://tablet.otzar.org/",CHAR(35),"/book/601675/p/-1/t/1/fs/0/start/0/end/0/c")</f>
        <v>https://tablet.otzar.org/#/book/601675/p/-1/t/1/fs/0/start/0/end/0/c</v>
      </c>
    </row>
    <row r="246" spans="1:8" x14ac:dyDescent="0.25">
      <c r="A246">
        <v>157370</v>
      </c>
      <c r="B246" t="s">
        <v>571</v>
      </c>
      <c r="C246" t="s">
        <v>572</v>
      </c>
      <c r="D246" t="s">
        <v>10</v>
      </c>
      <c r="E246" t="s">
        <v>177</v>
      </c>
      <c r="F246" t="s">
        <v>31</v>
      </c>
      <c r="G246" t="str">
        <f>HYPERLINK(_xlfn.CONCAT("https://tablet.otzar.org/",CHAR(35),"/book/157370/p/-1/t/1/fs/0/start/0/end/0/c"),"מפי בעלי לשונות")</f>
        <v>מפי בעלי לשונות</v>
      </c>
      <c r="H246" t="str">
        <f>_xlfn.CONCAT("https://tablet.otzar.org/",CHAR(35),"/book/157370/p/-1/t/1/fs/0/start/0/end/0/c")</f>
        <v>https://tablet.otzar.org/#/book/157370/p/-1/t/1/fs/0/start/0/end/0/c</v>
      </c>
    </row>
    <row r="247" spans="1:8" x14ac:dyDescent="0.25">
      <c r="A247">
        <v>155178</v>
      </c>
      <c r="B247" t="s">
        <v>573</v>
      </c>
      <c r="C247" t="s">
        <v>574</v>
      </c>
      <c r="D247" t="s">
        <v>10</v>
      </c>
      <c r="E247" t="s">
        <v>327</v>
      </c>
      <c r="F247" t="s">
        <v>19</v>
      </c>
      <c r="G247" t="str">
        <f>HYPERLINK(_xlfn.CONCAT("https://tablet.otzar.org/",CHAR(35),"/book/155178/p/-1/t/1/fs/0/start/0/end/0/c"),"מפירושי רב סעדיה למקרא")</f>
        <v>מפירושי רב סעדיה למקרא</v>
      </c>
      <c r="H247" t="str">
        <f>_xlfn.CONCAT("https://tablet.otzar.org/",CHAR(35),"/book/155178/p/-1/t/1/fs/0/start/0/end/0/c")</f>
        <v>https://tablet.otzar.org/#/book/155178/p/-1/t/1/fs/0/start/0/end/0/c</v>
      </c>
    </row>
    <row r="248" spans="1:8" x14ac:dyDescent="0.25">
      <c r="A248">
        <v>155225</v>
      </c>
      <c r="B248" t="s">
        <v>575</v>
      </c>
      <c r="C248" t="s">
        <v>576</v>
      </c>
      <c r="D248" t="s">
        <v>10</v>
      </c>
      <c r="E248" t="s">
        <v>103</v>
      </c>
      <c r="F248" t="s">
        <v>19</v>
      </c>
      <c r="G248" t="str">
        <f>HYPERLINK(_xlfn.CONCAT("https://tablet.otzar.org/",CHAR(35),"/exKotar/155225"),"מפניני הרמב""""ם - 2 כרכים")</f>
        <v>מפניני הרמב""ם - 2 כרכים</v>
      </c>
      <c r="H248" t="str">
        <f>_xlfn.CONCAT("https://tablet.otzar.org/",CHAR(35),"/exKotar/155225")</f>
        <v>https://tablet.otzar.org/#/exKotar/155225</v>
      </c>
    </row>
    <row r="249" spans="1:8" x14ac:dyDescent="0.25">
      <c r="A249">
        <v>155144</v>
      </c>
      <c r="B249" t="s">
        <v>577</v>
      </c>
      <c r="C249" t="s">
        <v>317</v>
      </c>
      <c r="D249" t="s">
        <v>10</v>
      </c>
      <c r="E249" t="s">
        <v>41</v>
      </c>
      <c r="F249" t="s">
        <v>72</v>
      </c>
      <c r="G249" t="str">
        <f>HYPERLINK(_xlfn.CONCAT("https://tablet.otzar.org/",CHAR(35),"/exKotar/155144"),"מפניני הרמב""""ם &lt;באנגלית&gt;  - 2 כרכים")</f>
        <v>מפניני הרמב""ם &lt;באנגלית&gt;  - 2 כרכים</v>
      </c>
      <c r="H249" t="str">
        <f>_xlfn.CONCAT("https://tablet.otzar.org/",CHAR(35),"/exKotar/155144")</f>
        <v>https://tablet.otzar.org/#/exKotar/155144</v>
      </c>
    </row>
    <row r="250" spans="1:8" x14ac:dyDescent="0.25">
      <c r="A250">
        <v>156240</v>
      </c>
      <c r="B250" t="s">
        <v>578</v>
      </c>
      <c r="C250" t="s">
        <v>579</v>
      </c>
      <c r="D250" t="s">
        <v>10</v>
      </c>
      <c r="E250" t="s">
        <v>222</v>
      </c>
      <c r="F250" t="s">
        <v>110</v>
      </c>
      <c r="G250" t="str">
        <f>HYPERLINK(_xlfn.CONCAT("https://tablet.otzar.org/",CHAR(35),"/book/156240/p/-1/t/1/fs/0/start/0/end/0/c"),"מצבות קודש בארץ ישראל")</f>
        <v>מצבות קודש בארץ ישראל</v>
      </c>
      <c r="H250" t="str">
        <f>_xlfn.CONCAT("https://tablet.otzar.org/",CHAR(35),"/book/156240/p/-1/t/1/fs/0/start/0/end/0/c")</f>
        <v>https://tablet.otzar.org/#/book/156240/p/-1/t/1/fs/0/start/0/end/0/c</v>
      </c>
    </row>
    <row r="251" spans="1:8" x14ac:dyDescent="0.25">
      <c r="A251">
        <v>154986</v>
      </c>
      <c r="B251" t="s">
        <v>580</v>
      </c>
      <c r="C251" t="s">
        <v>74</v>
      </c>
      <c r="D251" t="s">
        <v>10</v>
      </c>
      <c r="E251" t="s">
        <v>75</v>
      </c>
      <c r="F251" t="s">
        <v>581</v>
      </c>
      <c r="G251" t="str">
        <f>HYPERLINK(_xlfn.CONCAT("https://tablet.otzar.org/",CHAR(35),"/book/154986/p/-1/t/1/fs/0/start/0/end/0/c"),"מצות ראיה")</f>
        <v>מצות ראיה</v>
      </c>
      <c r="H251" t="str">
        <f>_xlfn.CONCAT("https://tablet.otzar.org/",CHAR(35),"/book/154986/p/-1/t/1/fs/0/start/0/end/0/c")</f>
        <v>https://tablet.otzar.org/#/book/154986/p/-1/t/1/fs/0/start/0/end/0/c</v>
      </c>
    </row>
    <row r="252" spans="1:8" x14ac:dyDescent="0.25">
      <c r="A252">
        <v>622910</v>
      </c>
      <c r="B252" t="s">
        <v>582</v>
      </c>
      <c r="C252" t="s">
        <v>583</v>
      </c>
      <c r="G252" t="str">
        <f>HYPERLINK(_xlfn.CONCAT("https://tablet.otzar.org/",CHAR(35),"/book/622910/p/-1/t/1/fs/0/start/0/end/0/c"),"מצמיח קרן ישועה")</f>
        <v>מצמיח קרן ישועה</v>
      </c>
      <c r="H252" t="str">
        <f>_xlfn.CONCAT("https://tablet.otzar.org/",CHAR(35),"/book/622910/p/-1/t/1/fs/0/start/0/end/0/c")</f>
        <v>https://tablet.otzar.org/#/book/622910/p/-1/t/1/fs/0/start/0/end/0/c</v>
      </c>
    </row>
    <row r="253" spans="1:8" x14ac:dyDescent="0.25">
      <c r="A253">
        <v>14655</v>
      </c>
      <c r="B253" t="s">
        <v>584</v>
      </c>
      <c r="C253" t="s">
        <v>585</v>
      </c>
      <c r="D253" t="s">
        <v>10</v>
      </c>
      <c r="E253" t="s">
        <v>15</v>
      </c>
      <c r="F253" t="s">
        <v>586</v>
      </c>
      <c r="G253" t="str">
        <f>HYPERLINK(_xlfn.CONCAT("https://tablet.otzar.org/",CHAR(35),"/exKotar/14655"),"מקורות ילקוט שמעוני - 2 כרכים")</f>
        <v>מקורות ילקוט שמעוני - 2 כרכים</v>
      </c>
      <c r="H253" t="str">
        <f>_xlfn.CONCAT("https://tablet.otzar.org/",CHAR(35),"/exKotar/14655")</f>
        <v>https://tablet.otzar.org/#/exKotar/14655</v>
      </c>
    </row>
    <row r="254" spans="1:8" x14ac:dyDescent="0.25">
      <c r="A254">
        <v>144633</v>
      </c>
      <c r="B254" t="s">
        <v>587</v>
      </c>
      <c r="C254" t="s">
        <v>329</v>
      </c>
      <c r="D254" t="s">
        <v>10</v>
      </c>
      <c r="E254" t="s">
        <v>295</v>
      </c>
      <c r="F254" t="s">
        <v>152</v>
      </c>
      <c r="G254" t="str">
        <f>HYPERLINK(_xlfn.CONCAT("https://tablet.otzar.org/",CHAR(35),"/book/144633/p/-1/t/1/fs/0/start/0/end/0/c"),"מרגליות הים")</f>
        <v>מרגליות הים</v>
      </c>
      <c r="H254" t="str">
        <f>_xlfn.CONCAT("https://tablet.otzar.org/",CHAR(35),"/book/144633/p/-1/t/1/fs/0/start/0/end/0/c")</f>
        <v>https://tablet.otzar.org/#/book/144633/p/-1/t/1/fs/0/start/0/end/0/c</v>
      </c>
    </row>
    <row r="255" spans="1:8" x14ac:dyDescent="0.25">
      <c r="A255">
        <v>156211</v>
      </c>
      <c r="B255" t="s">
        <v>588</v>
      </c>
      <c r="C255" t="s">
        <v>451</v>
      </c>
      <c r="D255" t="s">
        <v>10</v>
      </c>
      <c r="E255" t="s">
        <v>144</v>
      </c>
      <c r="F255" t="s">
        <v>19</v>
      </c>
      <c r="G255" t="str">
        <f>HYPERLINK(_xlfn.CONCAT("https://tablet.otzar.org/",CHAR(35),"/book/156211/p/-1/t/1/fs/0/start/0/end/0/c"),"מרכבת המשנה על התורה")</f>
        <v>מרכבת המשנה על התורה</v>
      </c>
      <c r="H255" t="str">
        <f>_xlfn.CONCAT("https://tablet.otzar.org/",CHAR(35),"/book/156211/p/-1/t/1/fs/0/start/0/end/0/c")</f>
        <v>https://tablet.otzar.org/#/book/156211/p/-1/t/1/fs/0/start/0/end/0/c</v>
      </c>
    </row>
    <row r="256" spans="1:8" x14ac:dyDescent="0.25">
      <c r="A256">
        <v>155376</v>
      </c>
      <c r="B256" t="s">
        <v>589</v>
      </c>
      <c r="C256" t="s">
        <v>590</v>
      </c>
      <c r="D256" t="s">
        <v>10</v>
      </c>
      <c r="E256" t="s">
        <v>139</v>
      </c>
      <c r="G256" t="str">
        <f>HYPERLINK(_xlfn.CONCAT("https://tablet.otzar.org/",CHAR(35),"/book/155376/p/-1/t/1/fs/0/start/0/end/0/c"),"משא עובדיה")</f>
        <v>משא עובדיה</v>
      </c>
      <c r="H256" t="str">
        <f>_xlfn.CONCAT("https://tablet.otzar.org/",CHAR(35),"/book/155376/p/-1/t/1/fs/0/start/0/end/0/c")</f>
        <v>https://tablet.otzar.org/#/book/155376/p/-1/t/1/fs/0/start/0/end/0/c</v>
      </c>
    </row>
    <row r="257" spans="1:8" x14ac:dyDescent="0.25">
      <c r="A257">
        <v>156996</v>
      </c>
      <c r="B257" t="s">
        <v>591</v>
      </c>
      <c r="C257" t="s">
        <v>592</v>
      </c>
      <c r="D257" t="s">
        <v>10</v>
      </c>
      <c r="E257" t="s">
        <v>206</v>
      </c>
      <c r="F257" t="s">
        <v>152</v>
      </c>
      <c r="G257" t="str">
        <f>HYPERLINK(_xlfn.CONCAT("https://tablet.otzar.org/",CHAR(35),"/book/156996/p/-1/t/1/fs/0/start/0/end/0/c"),"משברי ים")</f>
        <v>משברי ים</v>
      </c>
      <c r="H257" t="str">
        <f>_xlfn.CONCAT("https://tablet.otzar.org/",CHAR(35),"/book/156996/p/-1/t/1/fs/0/start/0/end/0/c")</f>
        <v>https://tablet.otzar.org/#/book/156996/p/-1/t/1/fs/0/start/0/end/0/c</v>
      </c>
    </row>
    <row r="258" spans="1:8" x14ac:dyDescent="0.25">
      <c r="A258">
        <v>681339</v>
      </c>
      <c r="B258" t="s">
        <v>593</v>
      </c>
      <c r="C258" t="s">
        <v>594</v>
      </c>
      <c r="D258" t="s">
        <v>10</v>
      </c>
      <c r="E258" t="s">
        <v>595</v>
      </c>
      <c r="F258" t="s">
        <v>190</v>
      </c>
      <c r="G258" t="str">
        <f>HYPERLINK(_xlfn.CONCAT("https://tablet.otzar.org/",CHAR(35),"/exKotar/681339"),"משיב נפש - 2 כרכים")</f>
        <v>משיב נפש - 2 כרכים</v>
      </c>
      <c r="H258" t="str">
        <f>_xlfn.CONCAT("https://tablet.otzar.org/",CHAR(35),"/exKotar/681339")</f>
        <v>https://tablet.otzar.org/#/exKotar/681339</v>
      </c>
    </row>
    <row r="259" spans="1:8" x14ac:dyDescent="0.25">
      <c r="A259">
        <v>677789</v>
      </c>
      <c r="B259" t="s">
        <v>596</v>
      </c>
      <c r="C259" t="s">
        <v>597</v>
      </c>
      <c r="D259" t="s">
        <v>10</v>
      </c>
      <c r="E259" t="s">
        <v>244</v>
      </c>
      <c r="F259" t="s">
        <v>19</v>
      </c>
      <c r="G259" t="str">
        <f>HYPERLINK(_xlfn.CONCAT("https://tablet.otzar.org/",CHAR(35),"/book/677789/p/-1/t/1/fs/0/start/0/end/0/c"),"משיב נפש על מגילת רות")</f>
        <v>משיב נפש על מגילת רות</v>
      </c>
      <c r="H259" t="str">
        <f>_xlfn.CONCAT("https://tablet.otzar.org/",CHAR(35),"/book/677789/p/-1/t/1/fs/0/start/0/end/0/c")</f>
        <v>https://tablet.otzar.org/#/book/677789/p/-1/t/1/fs/0/start/0/end/0/c</v>
      </c>
    </row>
    <row r="260" spans="1:8" x14ac:dyDescent="0.25">
      <c r="A260">
        <v>155166</v>
      </c>
      <c r="B260" t="s">
        <v>598</v>
      </c>
      <c r="C260" t="s">
        <v>599</v>
      </c>
      <c r="D260" t="s">
        <v>10</v>
      </c>
      <c r="E260" t="s">
        <v>257</v>
      </c>
      <c r="F260" t="s">
        <v>72</v>
      </c>
      <c r="G260" t="str">
        <f>HYPERLINK(_xlfn.CONCAT("https://tablet.otzar.org/",CHAR(35),"/book/155166/p/-1/t/1/fs/0/start/0/end/0/c"),"משכן שילה")</f>
        <v>משכן שילה</v>
      </c>
      <c r="H260" t="str">
        <f>_xlfn.CONCAT("https://tablet.otzar.org/",CHAR(35),"/book/155166/p/-1/t/1/fs/0/start/0/end/0/c")</f>
        <v>https://tablet.otzar.org/#/book/155166/p/-1/t/1/fs/0/start/0/end/0/c</v>
      </c>
    </row>
    <row r="261" spans="1:8" x14ac:dyDescent="0.25">
      <c r="A261">
        <v>647296</v>
      </c>
      <c r="B261" t="s">
        <v>600</v>
      </c>
      <c r="C261" t="s">
        <v>601</v>
      </c>
      <c r="D261" t="s">
        <v>10</v>
      </c>
      <c r="E261" t="s">
        <v>44</v>
      </c>
      <c r="F261" t="s">
        <v>68</v>
      </c>
      <c r="G261" t="str">
        <f>HYPERLINK(_xlfn.CONCAT("https://tablet.otzar.org/",CHAR(35),"/book/647296/p/-1/t/1/fs/0/start/0/end/0/c"),"משלי הקדמונים על פרשיות התורה")</f>
        <v>משלי הקדמונים על פרשיות התורה</v>
      </c>
      <c r="H261" t="str">
        <f>_xlfn.CONCAT("https://tablet.otzar.org/",CHAR(35),"/book/647296/p/-1/t/1/fs/0/start/0/end/0/c")</f>
        <v>https://tablet.otzar.org/#/book/647296/p/-1/t/1/fs/0/start/0/end/0/c</v>
      </c>
    </row>
    <row r="262" spans="1:8" x14ac:dyDescent="0.25">
      <c r="A262">
        <v>688798</v>
      </c>
      <c r="B262" t="s">
        <v>602</v>
      </c>
      <c r="C262" t="s">
        <v>156</v>
      </c>
      <c r="D262" t="s">
        <v>10</v>
      </c>
      <c r="E262" t="s">
        <v>54</v>
      </c>
      <c r="G262" t="str">
        <f>HYPERLINK(_xlfn.CONCAT("https://tablet.otzar.org/",CHAR(35),"/book/688798/p/-1/t/1/fs/0/start/0/end/0/c"),"משלי עם פירוש הרב המאירי")</f>
        <v>משלי עם פירוש הרב המאירי</v>
      </c>
      <c r="H262" t="str">
        <f>_xlfn.CONCAT("https://tablet.otzar.org/",CHAR(35),"/book/688798/p/-1/t/1/fs/0/start/0/end/0/c")</f>
        <v>https://tablet.otzar.org/#/book/688798/p/-1/t/1/fs/0/start/0/end/0/c</v>
      </c>
    </row>
    <row r="263" spans="1:8" x14ac:dyDescent="0.25">
      <c r="A263">
        <v>194442</v>
      </c>
      <c r="B263" t="s">
        <v>603</v>
      </c>
      <c r="C263" t="s">
        <v>604</v>
      </c>
      <c r="D263" t="s">
        <v>10</v>
      </c>
      <c r="E263" t="s">
        <v>57</v>
      </c>
      <c r="F263" t="s">
        <v>19</v>
      </c>
      <c r="G263" t="str">
        <f>HYPERLINK(_xlfn.CONCAT("https://tablet.otzar.org/",CHAR(35),"/book/194442/p/-1/t/1/fs/0/start/0/end/0/c"),"משלי עם פירוש רבינו יונה")</f>
        <v>משלי עם פירוש רבינו יונה</v>
      </c>
      <c r="H263" t="str">
        <f>_xlfn.CONCAT("https://tablet.otzar.org/",CHAR(35),"/book/194442/p/-1/t/1/fs/0/start/0/end/0/c")</f>
        <v>https://tablet.otzar.org/#/book/194442/p/-1/t/1/fs/0/start/0/end/0/c</v>
      </c>
    </row>
    <row r="264" spans="1:8" x14ac:dyDescent="0.25">
      <c r="A264">
        <v>155219</v>
      </c>
      <c r="B264" t="s">
        <v>605</v>
      </c>
      <c r="C264" t="s">
        <v>317</v>
      </c>
      <c r="D264" t="s">
        <v>10</v>
      </c>
      <c r="E264" t="s">
        <v>222</v>
      </c>
      <c r="F264" t="s">
        <v>561</v>
      </c>
      <c r="G264" t="str">
        <f>HYPERLINK(_xlfn.CONCAT("https://tablet.otzar.org/",CHAR(35),"/exKotar/155219"),"משנה עם פירוש הרמב""""ם &lt;ר""""י קאפח&gt;  - 6 כרכים")</f>
        <v>משנה עם פירוש הרמב""ם &lt;ר""י קאפח&gt;  - 6 כרכים</v>
      </c>
      <c r="H264" t="str">
        <f>_xlfn.CONCAT("https://tablet.otzar.org/",CHAR(35),"/exKotar/155219")</f>
        <v>https://tablet.otzar.org/#/exKotar/155219</v>
      </c>
    </row>
    <row r="265" spans="1:8" x14ac:dyDescent="0.25">
      <c r="A265">
        <v>164123</v>
      </c>
      <c r="B265" t="s">
        <v>606</v>
      </c>
      <c r="C265" t="s">
        <v>317</v>
      </c>
      <c r="D265" t="s">
        <v>10</v>
      </c>
      <c r="E265" t="s">
        <v>47</v>
      </c>
      <c r="F265" t="s">
        <v>561</v>
      </c>
      <c r="G265" t="str">
        <f>HYPERLINK(_xlfn.CONCAT("https://tablet.otzar.org/",CHAR(35),"/exKotar/164123"),"משנה עם פירוש הרמב""""ם &lt;עם המקור בערבית&gt;  - 7 כרכים")</f>
        <v>משנה עם פירוש הרמב""ם &lt;עם המקור בערבית&gt;  - 7 כרכים</v>
      </c>
      <c r="H265" t="str">
        <f>_xlfn.CONCAT("https://tablet.otzar.org/",CHAR(35),"/exKotar/164123")</f>
        <v>https://tablet.otzar.org/#/exKotar/164123</v>
      </c>
    </row>
    <row r="266" spans="1:8" x14ac:dyDescent="0.25">
      <c r="A266">
        <v>157644</v>
      </c>
      <c r="B266" t="s">
        <v>607</v>
      </c>
      <c r="C266" t="s">
        <v>317</v>
      </c>
      <c r="D266" t="s">
        <v>10</v>
      </c>
      <c r="E266" t="s">
        <v>408</v>
      </c>
      <c r="F266" t="s">
        <v>72</v>
      </c>
      <c r="G266" t="str">
        <f>HYPERLINK(_xlfn.CONCAT("https://tablet.otzar.org/",CHAR(35),"/book/157644/p/-1/t/1/fs/0/start/0/end/0/c"),"משנה תורה &lt;צילום דפוס רומי ר""""מ&gt;")</f>
        <v>משנה תורה &lt;צילום דפוס רומי ר""מ&gt;</v>
      </c>
      <c r="H266" t="str">
        <f>_xlfn.CONCAT("https://tablet.otzar.org/",CHAR(35),"/book/157644/p/-1/t/1/fs/0/start/0/end/0/c")</f>
        <v>https://tablet.otzar.org/#/book/157644/p/-1/t/1/fs/0/start/0/end/0/c</v>
      </c>
    </row>
    <row r="267" spans="1:8" x14ac:dyDescent="0.25">
      <c r="A267">
        <v>155485</v>
      </c>
      <c r="B267" t="s">
        <v>608</v>
      </c>
      <c r="C267" t="s">
        <v>317</v>
      </c>
      <c r="D267" t="s">
        <v>10</v>
      </c>
      <c r="E267" t="s">
        <v>295</v>
      </c>
      <c r="F267" t="s">
        <v>72</v>
      </c>
      <c r="G267" t="str">
        <f>HYPERLINK(_xlfn.CONCAT("https://tablet.otzar.org/",CHAR(35),"/exKotar/155485"),"משנה תורה &lt;רמב""""ם לעם&gt;  - 20 כרכים")</f>
        <v>משנה תורה &lt;רמב""ם לעם&gt;  - 20 כרכים</v>
      </c>
      <c r="H267" t="str">
        <f>_xlfn.CONCAT("https://tablet.otzar.org/",CHAR(35),"/exKotar/155485")</f>
        <v>https://tablet.otzar.org/#/exKotar/155485</v>
      </c>
    </row>
    <row r="268" spans="1:8" x14ac:dyDescent="0.25">
      <c r="A268">
        <v>200243</v>
      </c>
      <c r="B268" t="s">
        <v>609</v>
      </c>
      <c r="C268" t="s">
        <v>610</v>
      </c>
      <c r="D268" t="s">
        <v>10</v>
      </c>
      <c r="E268" t="s">
        <v>172</v>
      </c>
      <c r="F268" t="s">
        <v>51</v>
      </c>
      <c r="G268" t="str">
        <f>HYPERLINK(_xlfn.CONCAT("https://tablet.otzar.org/",CHAR(35),"/book/200243/p/-1/t/1/fs/0/start/0/end/0/c"),"משנת אליעזר")</f>
        <v>משנת אליעזר</v>
      </c>
      <c r="H268" t="str">
        <f>_xlfn.CONCAT("https://tablet.otzar.org/",CHAR(35),"/book/200243/p/-1/t/1/fs/0/start/0/end/0/c")</f>
        <v>https://tablet.otzar.org/#/book/200243/p/-1/t/1/fs/0/start/0/end/0/c</v>
      </c>
    </row>
    <row r="269" spans="1:8" x14ac:dyDescent="0.25">
      <c r="A269">
        <v>157378</v>
      </c>
      <c r="B269" t="s">
        <v>611</v>
      </c>
      <c r="C269" t="s">
        <v>612</v>
      </c>
      <c r="D269" t="s">
        <v>10</v>
      </c>
      <c r="E269" t="s">
        <v>75</v>
      </c>
      <c r="F269" t="s">
        <v>613</v>
      </c>
      <c r="G269" t="str">
        <f>HYPERLINK(_xlfn.CONCAT("https://tablet.otzar.org/",CHAR(35),"/book/157378/p/-1/t/1/fs/0/start/0/end/0/c"),"משנת הלוי")</f>
        <v>משנת הלוי</v>
      </c>
      <c r="H269" t="str">
        <f>_xlfn.CONCAT("https://tablet.otzar.org/",CHAR(35),"/book/157378/p/-1/t/1/fs/0/start/0/end/0/c")</f>
        <v>https://tablet.otzar.org/#/book/157378/p/-1/t/1/fs/0/start/0/end/0/c</v>
      </c>
    </row>
    <row r="270" spans="1:8" x14ac:dyDescent="0.25">
      <c r="A270">
        <v>157360</v>
      </c>
      <c r="B270" t="s">
        <v>614</v>
      </c>
      <c r="C270" t="s">
        <v>615</v>
      </c>
      <c r="D270" t="s">
        <v>10</v>
      </c>
      <c r="E270" t="s">
        <v>216</v>
      </c>
      <c r="F270" t="s">
        <v>616</v>
      </c>
      <c r="G270" t="str">
        <f>HYPERLINK(_xlfn.CONCAT("https://tablet.otzar.org/",CHAR(35),"/book/157360/p/-1/t/1/fs/0/start/0/end/0/c"),"משנת השר")</f>
        <v>משנת השר</v>
      </c>
      <c r="H270" t="str">
        <f>_xlfn.CONCAT("https://tablet.otzar.org/",CHAR(35),"/book/157360/p/-1/t/1/fs/0/start/0/end/0/c")</f>
        <v>https://tablet.otzar.org/#/book/157360/p/-1/t/1/fs/0/start/0/end/0/c</v>
      </c>
    </row>
    <row r="271" spans="1:8" x14ac:dyDescent="0.25">
      <c r="A271">
        <v>157359</v>
      </c>
      <c r="B271" t="s">
        <v>617</v>
      </c>
      <c r="C271" t="s">
        <v>618</v>
      </c>
      <c r="D271" t="s">
        <v>10</v>
      </c>
      <c r="E271" t="s">
        <v>619</v>
      </c>
      <c r="F271" t="s">
        <v>61</v>
      </c>
      <c r="G271" t="str">
        <f>HYPERLINK(_xlfn.CONCAT("https://tablet.otzar.org/",CHAR(35),"/book/157359/p/-1/t/1/fs/0/start/0/end/0/c"),"משנת יעקב - בעי חיי, ברכת יעקב, נר ערוך")</f>
        <v>משנת יעקב - בעי חיי, ברכת יעקב, נר ערוך</v>
      </c>
      <c r="H271" t="str">
        <f>_xlfn.CONCAT("https://tablet.otzar.org/",CHAR(35),"/book/157359/p/-1/t/1/fs/0/start/0/end/0/c")</f>
        <v>https://tablet.otzar.org/#/book/157359/p/-1/t/1/fs/0/start/0/end/0/c</v>
      </c>
    </row>
    <row r="272" spans="1:8" x14ac:dyDescent="0.25">
      <c r="A272">
        <v>155106</v>
      </c>
      <c r="B272" t="s">
        <v>620</v>
      </c>
      <c r="C272" t="s">
        <v>621</v>
      </c>
      <c r="D272" t="s">
        <v>10</v>
      </c>
      <c r="E272" t="s">
        <v>327</v>
      </c>
      <c r="F272" t="s">
        <v>561</v>
      </c>
      <c r="G272" t="str">
        <f>HYPERLINK(_xlfn.CONCAT("https://tablet.otzar.org/",CHAR(35),"/exKotar/155106"),"משנת ראובן &lt;פירושי הראשונים על  מסכת אבות&gt;  - 2 כרכים")</f>
        <v>משנת ראובן &lt;פירושי הראשונים על  מסכת אבות&gt;  - 2 כרכים</v>
      </c>
      <c r="H272" t="str">
        <f>_xlfn.CONCAT("https://tablet.otzar.org/",CHAR(35),"/exKotar/155106")</f>
        <v>https://tablet.otzar.org/#/exKotar/155106</v>
      </c>
    </row>
    <row r="273" spans="1:8" x14ac:dyDescent="0.25">
      <c r="A273">
        <v>154972</v>
      </c>
      <c r="B273" t="s">
        <v>622</v>
      </c>
      <c r="C273" t="s">
        <v>74</v>
      </c>
      <c r="D273" t="s">
        <v>10</v>
      </c>
      <c r="E273" t="s">
        <v>75</v>
      </c>
      <c r="F273" t="s">
        <v>51</v>
      </c>
      <c r="G273" t="str">
        <f>HYPERLINK(_xlfn.CONCAT("https://tablet.otzar.org/",CHAR(35),"/book/154972/p/-1/t/1/fs/0/start/0/end/0/c"),"משפט כהן")</f>
        <v>משפט כהן</v>
      </c>
      <c r="H273" t="str">
        <f>_xlfn.CONCAT("https://tablet.otzar.org/",CHAR(35),"/book/154972/p/-1/t/1/fs/0/start/0/end/0/c")</f>
        <v>https://tablet.otzar.org/#/book/154972/p/-1/t/1/fs/0/start/0/end/0/c</v>
      </c>
    </row>
    <row r="274" spans="1:8" x14ac:dyDescent="0.25">
      <c r="A274">
        <v>158447</v>
      </c>
      <c r="B274" t="s">
        <v>623</v>
      </c>
      <c r="C274" t="s">
        <v>624</v>
      </c>
      <c r="D274" t="s">
        <v>10</v>
      </c>
      <c r="E274" t="s">
        <v>504</v>
      </c>
      <c r="F274" t="s">
        <v>51</v>
      </c>
      <c r="G274" t="str">
        <f>HYPERLINK(_xlfn.CONCAT("https://tablet.otzar.org/",CHAR(35),"/book/158447/p/-1/t/1/fs/0/start/0/end/0/c"),"משפטי עזיאל - אה""""ע תנינא")</f>
        <v>משפטי עזיאל - אה""ע תנינא</v>
      </c>
      <c r="H274" t="str">
        <f>_xlfn.CONCAT("https://tablet.otzar.org/",CHAR(35),"/book/158447/p/-1/t/1/fs/0/start/0/end/0/c")</f>
        <v>https://tablet.otzar.org/#/book/158447/p/-1/t/1/fs/0/start/0/end/0/c</v>
      </c>
    </row>
    <row r="275" spans="1:8" x14ac:dyDescent="0.25">
      <c r="A275">
        <v>638052</v>
      </c>
      <c r="B275" t="s">
        <v>625</v>
      </c>
      <c r="C275" t="s">
        <v>626</v>
      </c>
      <c r="D275" t="s">
        <v>10</v>
      </c>
      <c r="E275" t="s">
        <v>189</v>
      </c>
      <c r="F275" t="s">
        <v>19</v>
      </c>
      <c r="G275" t="str">
        <f>HYPERLINK(_xlfn.CONCAT("https://tablet.otzar.org/",CHAR(35),"/exKotar/638052"),"נ""""ך לאור ההלכה - 2 כרכים")</f>
        <v>נ""ך לאור ההלכה - 2 כרכים</v>
      </c>
      <c r="H275" t="str">
        <f>_xlfn.CONCAT("https://tablet.otzar.org/",CHAR(35),"/exKotar/638052")</f>
        <v>https://tablet.otzar.org/#/exKotar/638052</v>
      </c>
    </row>
    <row r="276" spans="1:8" x14ac:dyDescent="0.25">
      <c r="A276">
        <v>155584</v>
      </c>
      <c r="B276" t="s">
        <v>627</v>
      </c>
      <c r="C276" t="s">
        <v>389</v>
      </c>
      <c r="D276" t="s">
        <v>10</v>
      </c>
      <c r="E276" t="s">
        <v>628</v>
      </c>
      <c r="F276" t="s">
        <v>19</v>
      </c>
      <c r="G276" t="str">
        <f>HYPERLINK(_xlfn.CONCAT("https://tablet.otzar.org/",CHAR(35),"/book/155584/p/-1/t/1/fs/0/start/0/end/0/c"),"נביאים וכתובים עם פירוש אור החיים הערוך והמבואר")</f>
        <v>נביאים וכתובים עם פירוש אור החיים הערוך והמבואר</v>
      </c>
      <c r="H276" t="str">
        <f>_xlfn.CONCAT("https://tablet.otzar.org/",CHAR(35),"/book/155584/p/-1/t/1/fs/0/start/0/end/0/c")</f>
        <v>https://tablet.otzar.org/#/book/155584/p/-1/t/1/fs/0/start/0/end/0/c</v>
      </c>
    </row>
    <row r="277" spans="1:8" x14ac:dyDescent="0.25">
      <c r="A277">
        <v>156303</v>
      </c>
      <c r="B277" t="s">
        <v>629</v>
      </c>
      <c r="C277" t="s">
        <v>630</v>
      </c>
      <c r="D277" t="s">
        <v>10</v>
      </c>
      <c r="E277" t="s">
        <v>151</v>
      </c>
      <c r="F277" t="s">
        <v>19</v>
      </c>
      <c r="G277" t="str">
        <f>HYPERLINK(_xlfn.CONCAT("https://tablet.otzar.org/",CHAR(35),"/exKotar/156303"),"נועם אלימלך - 2 כרכים")</f>
        <v>נועם אלימלך - 2 כרכים</v>
      </c>
      <c r="H277" t="str">
        <f>_xlfn.CONCAT("https://tablet.otzar.org/",CHAR(35),"/exKotar/156303")</f>
        <v>https://tablet.otzar.org/#/exKotar/156303</v>
      </c>
    </row>
    <row r="278" spans="1:8" x14ac:dyDescent="0.25">
      <c r="A278">
        <v>647298</v>
      </c>
      <c r="B278" t="s">
        <v>631</v>
      </c>
      <c r="C278" t="s">
        <v>632</v>
      </c>
      <c r="D278" t="s">
        <v>10</v>
      </c>
      <c r="E278" t="s">
        <v>44</v>
      </c>
      <c r="F278" t="s">
        <v>152</v>
      </c>
      <c r="G278" t="str">
        <f>HYPERLINK(_xlfn.CONCAT("https://tablet.otzar.org/",CHAR(35),"/book/647298/p/-1/t/1/fs/0/start/0/end/0/c"),"נושאי הש""""ס")</f>
        <v>נושאי הש""ס</v>
      </c>
      <c r="H278" t="str">
        <f>_xlfn.CONCAT("https://tablet.otzar.org/",CHAR(35),"/book/647298/p/-1/t/1/fs/0/start/0/end/0/c")</f>
        <v>https://tablet.otzar.org/#/book/647298/p/-1/t/1/fs/0/start/0/end/0/c</v>
      </c>
    </row>
    <row r="279" spans="1:8" x14ac:dyDescent="0.25">
      <c r="A279">
        <v>601554</v>
      </c>
      <c r="B279" t="s">
        <v>633</v>
      </c>
      <c r="C279" t="s">
        <v>634</v>
      </c>
      <c r="D279" t="s">
        <v>10</v>
      </c>
      <c r="E279" t="s">
        <v>127</v>
      </c>
      <c r="F279" t="s">
        <v>31</v>
      </c>
      <c r="G279" t="str">
        <f>HYPERLINK(_xlfn.CONCAT("https://tablet.otzar.org/",CHAR(35),"/book/601554/p/-1/t/1/fs/0/start/0/end/0/c"),"נחליאל &lt;מהדורה חדשה&gt;")</f>
        <v>נחליאל &lt;מהדורה חדשה&gt;</v>
      </c>
      <c r="H279" t="str">
        <f>_xlfn.CONCAT("https://tablet.otzar.org/",CHAR(35),"/book/601554/p/-1/t/1/fs/0/start/0/end/0/c")</f>
        <v>https://tablet.otzar.org/#/book/601554/p/-1/t/1/fs/0/start/0/end/0/c</v>
      </c>
    </row>
    <row r="280" spans="1:8" x14ac:dyDescent="0.25">
      <c r="A280">
        <v>159752</v>
      </c>
      <c r="B280" t="s">
        <v>635</v>
      </c>
      <c r="C280" t="s">
        <v>634</v>
      </c>
      <c r="D280" t="s">
        <v>10</v>
      </c>
      <c r="E280" t="s">
        <v>555</v>
      </c>
      <c r="F280" t="s">
        <v>31</v>
      </c>
      <c r="G280" t="str">
        <f>HYPERLINK(_xlfn.CONCAT("https://tablet.otzar.org/",CHAR(35),"/book/159752/p/-1/t/1/fs/0/start/0/end/0/c"),"נחליאל")</f>
        <v>נחליאל</v>
      </c>
      <c r="H280" t="str">
        <f>_xlfn.CONCAT("https://tablet.otzar.org/",CHAR(35),"/book/159752/p/-1/t/1/fs/0/start/0/end/0/c")</f>
        <v>https://tablet.otzar.org/#/book/159752/p/-1/t/1/fs/0/start/0/end/0/c</v>
      </c>
    </row>
    <row r="281" spans="1:8" x14ac:dyDescent="0.25">
      <c r="A281">
        <v>14453</v>
      </c>
      <c r="B281" t="s">
        <v>636</v>
      </c>
      <c r="C281" t="s">
        <v>637</v>
      </c>
      <c r="D281" t="s">
        <v>10</v>
      </c>
      <c r="E281" t="s">
        <v>30</v>
      </c>
      <c r="F281" t="s">
        <v>19</v>
      </c>
      <c r="G281" t="str">
        <f>HYPERLINK(_xlfn.CONCAT("https://tablet.otzar.org/",CHAR(35),"/book/14453/p/-1/t/1/fs/0/start/0/end/0/c"),"נימוקי חומש לרבינו ישעיה")</f>
        <v>נימוקי חומש לרבינו ישעיה</v>
      </c>
      <c r="H281" t="str">
        <f>_xlfn.CONCAT("https://tablet.otzar.org/",CHAR(35),"/book/14453/p/-1/t/1/fs/0/start/0/end/0/c")</f>
        <v>https://tablet.otzar.org/#/book/14453/p/-1/t/1/fs/0/start/0/end/0/c</v>
      </c>
    </row>
    <row r="282" spans="1:8" x14ac:dyDescent="0.25">
      <c r="A282">
        <v>155278</v>
      </c>
      <c r="B282" t="s">
        <v>638</v>
      </c>
      <c r="C282" t="s">
        <v>329</v>
      </c>
      <c r="D282" t="s">
        <v>10</v>
      </c>
      <c r="E282" t="s">
        <v>15</v>
      </c>
      <c r="F282" t="s">
        <v>639</v>
      </c>
      <c r="G282" t="str">
        <f>HYPERLINK(_xlfn.CONCAT("https://tablet.otzar.org/",CHAR(35),"/book/155278/p/-1/t/1/fs/0/start/0/end/0/c"),"ניצוצי אור")</f>
        <v>ניצוצי אור</v>
      </c>
      <c r="H282" t="str">
        <f>_xlfn.CONCAT("https://tablet.otzar.org/",CHAR(35),"/book/155278/p/-1/t/1/fs/0/start/0/end/0/c")</f>
        <v>https://tablet.otzar.org/#/book/155278/p/-1/t/1/fs/0/start/0/end/0/c</v>
      </c>
    </row>
    <row r="283" spans="1:8" x14ac:dyDescent="0.25">
      <c r="A283">
        <v>194443</v>
      </c>
      <c r="B283" t="s">
        <v>640</v>
      </c>
      <c r="C283" t="s">
        <v>641</v>
      </c>
      <c r="D283" t="s">
        <v>10</v>
      </c>
      <c r="E283" t="s">
        <v>127</v>
      </c>
      <c r="F283" t="s">
        <v>19</v>
      </c>
      <c r="G283" t="str">
        <f>HYPERLINK(_xlfn.CONCAT("https://tablet.otzar.org/",CHAR(35),"/exKotar/194443"),"נר אהרן - 2 כרכים")</f>
        <v>נר אהרן - 2 כרכים</v>
      </c>
      <c r="H283" t="str">
        <f>_xlfn.CONCAT("https://tablet.otzar.org/",CHAR(35),"/exKotar/194443")</f>
        <v>https://tablet.otzar.org/#/exKotar/194443</v>
      </c>
    </row>
    <row r="284" spans="1:8" x14ac:dyDescent="0.25">
      <c r="A284">
        <v>14747</v>
      </c>
      <c r="B284" t="s">
        <v>642</v>
      </c>
      <c r="C284" t="s">
        <v>329</v>
      </c>
      <c r="D284" t="s">
        <v>10</v>
      </c>
      <c r="E284" t="s">
        <v>336</v>
      </c>
      <c r="F284" t="s">
        <v>68</v>
      </c>
      <c r="G284" t="str">
        <f>HYPERLINK(_xlfn.CONCAT("https://tablet.otzar.org/",CHAR(35),"/book/14747/p/-1/t/1/fs/0/start/0/end/0/c"),"נר למאור")</f>
        <v>נר למאור</v>
      </c>
      <c r="H284" t="str">
        <f>_xlfn.CONCAT("https://tablet.otzar.org/",CHAR(35),"/book/14747/p/-1/t/1/fs/0/start/0/end/0/c")</f>
        <v>https://tablet.otzar.org/#/book/14747/p/-1/t/1/fs/0/start/0/end/0/c</v>
      </c>
    </row>
    <row r="285" spans="1:8" x14ac:dyDescent="0.25">
      <c r="A285">
        <v>156200</v>
      </c>
      <c r="B285" t="s">
        <v>643</v>
      </c>
      <c r="C285" t="s">
        <v>644</v>
      </c>
      <c r="D285" t="s">
        <v>10</v>
      </c>
      <c r="E285" t="s">
        <v>50</v>
      </c>
      <c r="F285" t="s">
        <v>12</v>
      </c>
      <c r="G285" t="str">
        <f>HYPERLINK(_xlfn.CONCAT("https://tablet.otzar.org/",CHAR(35),"/book/156200/p/-1/t/1/fs/0/start/0/end/0/c"),"סדר אליהו")</f>
        <v>סדר אליהו</v>
      </c>
      <c r="H285" t="str">
        <f>_xlfn.CONCAT("https://tablet.otzar.org/",CHAR(35),"/book/156200/p/-1/t/1/fs/0/start/0/end/0/c")</f>
        <v>https://tablet.otzar.org/#/book/156200/p/-1/t/1/fs/0/start/0/end/0/c</v>
      </c>
    </row>
    <row r="286" spans="1:8" x14ac:dyDescent="0.25">
      <c r="A286">
        <v>157024</v>
      </c>
      <c r="B286" t="s">
        <v>645</v>
      </c>
      <c r="C286" t="s">
        <v>646</v>
      </c>
      <c r="D286" t="s">
        <v>10</v>
      </c>
      <c r="E286" t="s">
        <v>15</v>
      </c>
      <c r="F286" t="s">
        <v>229</v>
      </c>
      <c r="G286" t="str">
        <f>HYPERLINK(_xlfn.CONCAT("https://tablet.otzar.org/",CHAR(35),"/book/157024/p/-1/t/1/fs/0/start/0/end/0/c"),"סדר הסליחות כמנהג ליטא")</f>
        <v>סדר הסליחות כמנהג ליטא</v>
      </c>
      <c r="H286" t="str">
        <f>_xlfn.CONCAT("https://tablet.otzar.org/",CHAR(35),"/book/157024/p/-1/t/1/fs/0/start/0/end/0/c")</f>
        <v>https://tablet.otzar.org/#/book/157024/p/-1/t/1/fs/0/start/0/end/0/c</v>
      </c>
    </row>
    <row r="287" spans="1:8" x14ac:dyDescent="0.25">
      <c r="A287">
        <v>14143</v>
      </c>
      <c r="B287" t="s">
        <v>647</v>
      </c>
      <c r="C287" t="s">
        <v>646</v>
      </c>
      <c r="D287" t="s">
        <v>10</v>
      </c>
      <c r="E287" t="s">
        <v>15</v>
      </c>
      <c r="F287" t="s">
        <v>229</v>
      </c>
      <c r="G287" t="str">
        <f>HYPERLINK(_xlfn.CONCAT("https://tablet.otzar.org/",CHAR(35),"/book/14143/p/-1/t/1/fs/0/start/0/end/0/c"),"סדר הסליחות כמנהג פולין")</f>
        <v>סדר הסליחות כמנהג פולין</v>
      </c>
      <c r="H287" t="str">
        <f>_xlfn.CONCAT("https://tablet.otzar.org/",CHAR(35),"/book/14143/p/-1/t/1/fs/0/start/0/end/0/c")</f>
        <v>https://tablet.otzar.org/#/book/14143/p/-1/t/1/fs/0/start/0/end/0/c</v>
      </c>
    </row>
    <row r="288" spans="1:8" x14ac:dyDescent="0.25">
      <c r="A288">
        <v>155209</v>
      </c>
      <c r="B288" t="s">
        <v>648</v>
      </c>
      <c r="C288" t="s">
        <v>649</v>
      </c>
      <c r="D288" t="s">
        <v>10</v>
      </c>
      <c r="E288" t="s">
        <v>30</v>
      </c>
      <c r="F288" t="s">
        <v>650</v>
      </c>
      <c r="G288" t="str">
        <f>HYPERLINK(_xlfn.CONCAT("https://tablet.otzar.org/",CHAR(35),"/book/155209/p/-1/t/1/fs/0/start/0/end/0/c"),"סדר הקינות לתשעה באב &lt;מבואר&gt;")</f>
        <v>סדר הקינות לתשעה באב &lt;מבואר&gt;</v>
      </c>
      <c r="H288" t="str">
        <f>_xlfn.CONCAT("https://tablet.otzar.org/",CHAR(35),"/book/155209/p/-1/t/1/fs/0/start/0/end/0/c")</f>
        <v>https://tablet.otzar.org/#/book/155209/p/-1/t/1/fs/0/start/0/end/0/c</v>
      </c>
    </row>
    <row r="289" spans="1:8" x14ac:dyDescent="0.25">
      <c r="A289">
        <v>155558</v>
      </c>
      <c r="B289" t="s">
        <v>651</v>
      </c>
      <c r="C289" t="s">
        <v>652</v>
      </c>
      <c r="D289" t="s">
        <v>10</v>
      </c>
      <c r="E289" t="s">
        <v>327</v>
      </c>
      <c r="F289" t="s">
        <v>653</v>
      </c>
      <c r="G289" t="str">
        <f>HYPERLINK(_xlfn.CONCAT("https://tablet.otzar.org/",CHAR(35),"/book/155558/p/-1/t/1/fs/0/start/0/end/0/c"),"סדר רב עמרם גאון &lt;מוה""""ק&gt;")</f>
        <v>סדר רב עמרם גאון &lt;מוה""ק&gt;</v>
      </c>
      <c r="H289" t="str">
        <f>_xlfn.CONCAT("https://tablet.otzar.org/",CHAR(35),"/book/155558/p/-1/t/1/fs/0/start/0/end/0/c")</f>
        <v>https://tablet.otzar.org/#/book/155558/p/-1/t/1/fs/0/start/0/end/0/c</v>
      </c>
    </row>
    <row r="290" spans="1:8" x14ac:dyDescent="0.25">
      <c r="A290">
        <v>601655</v>
      </c>
      <c r="B290" t="s">
        <v>654</v>
      </c>
      <c r="C290" t="s">
        <v>655</v>
      </c>
      <c r="D290" t="s">
        <v>10</v>
      </c>
      <c r="E290" t="s">
        <v>57</v>
      </c>
      <c r="F290" t="s">
        <v>229</v>
      </c>
      <c r="G290" t="str">
        <f>HYPERLINK(_xlfn.CONCAT("https://tablet.otzar.org/",CHAR(35),"/book/601655/p/-1/t/1/fs/0/start/0/end/0/c"),"סדר תפלה &lt;עולת ראיה&gt; - ב (לשבתות ומועדים)")</f>
        <v>סדר תפלה &lt;עולת ראיה&gt; - ב (לשבתות ומועדים)</v>
      </c>
      <c r="H290" t="str">
        <f>_xlfn.CONCAT("https://tablet.otzar.org/",CHAR(35),"/book/601655/p/-1/t/1/fs/0/start/0/end/0/c")</f>
        <v>https://tablet.otzar.org/#/book/601655/p/-1/t/1/fs/0/start/0/end/0/c</v>
      </c>
    </row>
    <row r="291" spans="1:8" x14ac:dyDescent="0.25">
      <c r="A291">
        <v>638051</v>
      </c>
      <c r="B291" t="s">
        <v>656</v>
      </c>
      <c r="C291" t="s">
        <v>53</v>
      </c>
      <c r="D291" t="s">
        <v>10</v>
      </c>
      <c r="E291" t="s">
        <v>189</v>
      </c>
      <c r="G291" t="str">
        <f>HYPERLINK(_xlfn.CONCAT("https://tablet.otzar.org/",CHAR(35),"/book/638051/p/-1/t/1/fs/0/start/0/end/0/c"),"סידור הגר""""א &lt;מוסד הרב קוק&gt;")</f>
        <v>סידור הגר""א &lt;מוסד הרב קוק&gt;</v>
      </c>
      <c r="H291" t="str">
        <f>_xlfn.CONCAT("https://tablet.otzar.org/",CHAR(35),"/book/638051/p/-1/t/1/fs/0/start/0/end/0/c")</f>
        <v>https://tablet.otzar.org/#/book/638051/p/-1/t/1/fs/0/start/0/end/0/c</v>
      </c>
    </row>
    <row r="292" spans="1:8" x14ac:dyDescent="0.25">
      <c r="A292">
        <v>601567</v>
      </c>
      <c r="B292" t="s">
        <v>657</v>
      </c>
      <c r="C292" t="s">
        <v>658</v>
      </c>
      <c r="D292" t="s">
        <v>10</v>
      </c>
      <c r="E292" t="s">
        <v>127</v>
      </c>
      <c r="F292" t="s">
        <v>229</v>
      </c>
      <c r="G292" t="str">
        <f>HYPERLINK(_xlfn.CONCAT("https://tablet.otzar.org/",CHAR(35),"/book/601567/p/-1/t/1/fs/0/start/0/end/0/c"),"סידור תפילה צלותא דאברהם")</f>
        <v>סידור תפילה צלותא דאברהם</v>
      </c>
      <c r="H292" t="str">
        <f>_xlfn.CONCAT("https://tablet.otzar.org/",CHAR(35),"/book/601567/p/-1/t/1/fs/0/start/0/end/0/c")</f>
        <v>https://tablet.otzar.org/#/book/601567/p/-1/t/1/fs/0/start/0/end/0/c</v>
      </c>
    </row>
    <row r="293" spans="1:8" x14ac:dyDescent="0.25">
      <c r="A293">
        <v>155194</v>
      </c>
      <c r="B293" t="s">
        <v>659</v>
      </c>
      <c r="C293" t="s">
        <v>25</v>
      </c>
      <c r="D293" t="s">
        <v>10</v>
      </c>
      <c r="E293" t="s">
        <v>660</v>
      </c>
      <c r="F293" t="s">
        <v>229</v>
      </c>
      <c r="G293" t="str">
        <f>HYPERLINK(_xlfn.CONCAT("https://tablet.otzar.org/",CHAR(35),"/book/155194/p/-1/t/1/fs/0/start/0/end/0/c"),"סידור תפילות ישראל עם פירוש הרש""""ר הירש")</f>
        <v>סידור תפילות ישראל עם פירוש הרש""ר הירש</v>
      </c>
      <c r="H293" t="str">
        <f>_xlfn.CONCAT("https://tablet.otzar.org/",CHAR(35),"/book/155194/p/-1/t/1/fs/0/start/0/end/0/c")</f>
        <v>https://tablet.otzar.org/#/book/155194/p/-1/t/1/fs/0/start/0/end/0/c</v>
      </c>
    </row>
    <row r="294" spans="1:8" x14ac:dyDescent="0.25">
      <c r="A294">
        <v>181028</v>
      </c>
      <c r="B294" t="s">
        <v>661</v>
      </c>
      <c r="C294" t="s">
        <v>53</v>
      </c>
      <c r="D294" t="s">
        <v>10</v>
      </c>
      <c r="E294" t="s">
        <v>285</v>
      </c>
      <c r="F294" t="s">
        <v>229</v>
      </c>
      <c r="G294" t="str">
        <f>HYPERLINK(_xlfn.CONCAT("https://tablet.otzar.org/",CHAR(35),"/book/181028/p/-1/t/1/fs/0/start/0/end/0/c"),"סידור תפילת אליהו")</f>
        <v>סידור תפילת אליהו</v>
      </c>
      <c r="H294" t="str">
        <f>_xlfn.CONCAT("https://tablet.otzar.org/",CHAR(35),"/book/181028/p/-1/t/1/fs/0/start/0/end/0/c")</f>
        <v>https://tablet.otzar.org/#/book/181028/p/-1/t/1/fs/0/start/0/end/0/c</v>
      </c>
    </row>
    <row r="295" spans="1:8" x14ac:dyDescent="0.25">
      <c r="A295">
        <v>155519</v>
      </c>
      <c r="B295" t="s">
        <v>662</v>
      </c>
      <c r="C295" t="s">
        <v>663</v>
      </c>
      <c r="D295" t="s">
        <v>10</v>
      </c>
      <c r="E295" t="s">
        <v>327</v>
      </c>
      <c r="F295" t="s">
        <v>664</v>
      </c>
      <c r="G295" t="str">
        <f>HYPERLINK(_xlfn.CONCAT("https://tablet.otzar.org/",CHAR(35),"/book/155519/p/-1/t/1/fs/0/start/0/end/0/c"),"סיני | קלה-קלו (קובץ הרמב""""ם)")</f>
        <v>סיני | קלה-קלו (קובץ הרמב""ם)</v>
      </c>
      <c r="H295" t="str">
        <f>_xlfn.CONCAT("https://tablet.otzar.org/",CHAR(35),"/book/155519/p/-1/t/1/fs/0/start/0/end/0/c")</f>
        <v>https://tablet.otzar.org/#/book/155519/p/-1/t/1/fs/0/start/0/end/0/c</v>
      </c>
    </row>
    <row r="296" spans="1:8" x14ac:dyDescent="0.25">
      <c r="A296">
        <v>647299</v>
      </c>
      <c r="B296" t="s">
        <v>665</v>
      </c>
      <c r="C296" t="s">
        <v>319</v>
      </c>
      <c r="D296" t="s">
        <v>10</v>
      </c>
      <c r="E296" t="s">
        <v>44</v>
      </c>
      <c r="F296" t="s">
        <v>666</v>
      </c>
      <c r="G296" t="str">
        <f>HYPERLINK(_xlfn.CONCAT("https://tablet.otzar.org/",CHAR(35),"/book/647299/p/-1/t/1/fs/0/start/0/end/0/c"),"סיפורי חסידים בדרשות לפרשת השבוע")</f>
        <v>סיפורי חסידים בדרשות לפרשת השבוע</v>
      </c>
      <c r="H296" t="str">
        <f>_xlfn.CONCAT("https://tablet.otzar.org/",CHAR(35),"/book/647299/p/-1/t/1/fs/0/start/0/end/0/c")</f>
        <v>https://tablet.otzar.org/#/book/647299/p/-1/t/1/fs/0/start/0/end/0/c</v>
      </c>
    </row>
    <row r="297" spans="1:8" x14ac:dyDescent="0.25">
      <c r="A297">
        <v>155185</v>
      </c>
      <c r="B297" t="s">
        <v>667</v>
      </c>
      <c r="C297" t="s">
        <v>668</v>
      </c>
      <c r="D297" t="s">
        <v>10</v>
      </c>
      <c r="E297" t="s">
        <v>162</v>
      </c>
      <c r="F297" t="s">
        <v>669</v>
      </c>
      <c r="G297" t="str">
        <f>HYPERLINK(_xlfn.CONCAT("https://tablet.otzar.org/",CHAR(35),"/book/155185/p/-1/t/1/fs/0/start/0/end/0/c"),"סיפורי מעשיות משנים קדמוניות")</f>
        <v>סיפורי מעשיות משנים קדמוניות</v>
      </c>
      <c r="H297" t="str">
        <f>_xlfn.CONCAT("https://tablet.otzar.org/",CHAR(35),"/book/155185/p/-1/t/1/fs/0/start/0/end/0/c")</f>
        <v>https://tablet.otzar.org/#/book/155185/p/-1/t/1/fs/0/start/0/end/0/c</v>
      </c>
    </row>
    <row r="298" spans="1:8" x14ac:dyDescent="0.25">
      <c r="A298">
        <v>155537</v>
      </c>
      <c r="B298" t="s">
        <v>670</v>
      </c>
      <c r="C298" t="s">
        <v>671</v>
      </c>
      <c r="D298" t="s">
        <v>10</v>
      </c>
      <c r="F298" t="s">
        <v>229</v>
      </c>
      <c r="G298" t="str">
        <f>HYPERLINK(_xlfn.CONCAT("https://tablet.otzar.org/",CHAR(35),"/book/155537/p/-1/t/1/fs/0/start/0/end/0/c"),"סליחות ופזמונים &lt;רבינו גרשום מאור הגולה&gt;")</f>
        <v>סליחות ופזמונים &lt;רבינו גרשום מאור הגולה&gt;</v>
      </c>
      <c r="H298" t="str">
        <f>_xlfn.CONCAT("https://tablet.otzar.org/",CHAR(35),"/book/155537/p/-1/t/1/fs/0/start/0/end/0/c")</f>
        <v>https://tablet.otzar.org/#/book/155537/p/-1/t/1/fs/0/start/0/end/0/c</v>
      </c>
    </row>
    <row r="299" spans="1:8" x14ac:dyDescent="0.25">
      <c r="A299">
        <v>155275</v>
      </c>
      <c r="B299" t="s">
        <v>672</v>
      </c>
      <c r="C299" t="s">
        <v>17</v>
      </c>
      <c r="D299" t="s">
        <v>10</v>
      </c>
      <c r="E299" t="s">
        <v>628</v>
      </c>
      <c r="F299" t="s">
        <v>19</v>
      </c>
      <c r="G299" t="str">
        <f>HYPERLINK(_xlfn.CONCAT("https://tablet.otzar.org/",CHAR(35),"/book/155275/p/-1/t/1/fs/0/start/0/end/0/c"),"ספר איוב עם פירושי אבן עזרא")</f>
        <v>ספר איוב עם פירושי אבן עזרא</v>
      </c>
      <c r="H299" t="str">
        <f>_xlfn.CONCAT("https://tablet.otzar.org/",CHAR(35),"/book/155275/p/-1/t/1/fs/0/start/0/end/0/c")</f>
        <v>https://tablet.otzar.org/#/book/155275/p/-1/t/1/fs/0/start/0/end/0/c</v>
      </c>
    </row>
    <row r="300" spans="1:8" x14ac:dyDescent="0.25">
      <c r="A300">
        <v>622822</v>
      </c>
      <c r="B300" t="s">
        <v>673</v>
      </c>
      <c r="C300" t="s">
        <v>17</v>
      </c>
      <c r="D300" t="s">
        <v>10</v>
      </c>
      <c r="E300" t="s">
        <v>38</v>
      </c>
      <c r="F300" t="s">
        <v>19</v>
      </c>
      <c r="G300" t="str">
        <f>HYPERLINK(_xlfn.CONCAT("https://tablet.otzar.org/",CHAR(35),"/book/622822/p/-1/t/1/fs/0/start/0/end/0/c"),"ספר דניאל עם פירושי אבן עזרא")</f>
        <v>ספר דניאל עם פירושי אבן עזרא</v>
      </c>
      <c r="H300" t="str">
        <f>_xlfn.CONCAT("https://tablet.otzar.org/",CHAR(35),"/book/622822/p/-1/t/1/fs/0/start/0/end/0/c")</f>
        <v>https://tablet.otzar.org/#/book/622822/p/-1/t/1/fs/0/start/0/end/0/c</v>
      </c>
    </row>
    <row r="301" spans="1:8" x14ac:dyDescent="0.25">
      <c r="A301">
        <v>103271</v>
      </c>
      <c r="B301" t="s">
        <v>674</v>
      </c>
      <c r="C301" t="s">
        <v>674</v>
      </c>
      <c r="D301" t="s">
        <v>10</v>
      </c>
      <c r="E301" t="s">
        <v>675</v>
      </c>
      <c r="F301" t="s">
        <v>35</v>
      </c>
      <c r="G301" t="str">
        <f>HYPERLINK(_xlfn.CONCAT("https://tablet.otzar.org/",CHAR(35),"/book/103271/p/-1/t/1/fs/0/start/0/end/0/c"),"ספר הבהיר")</f>
        <v>ספר הבהיר</v>
      </c>
      <c r="H301" t="str">
        <f>_xlfn.CONCAT("https://tablet.otzar.org/",CHAR(35),"/book/103271/p/-1/t/1/fs/0/start/0/end/0/c")</f>
        <v>https://tablet.otzar.org/#/book/103271/p/-1/t/1/fs/0/start/0/end/0/c</v>
      </c>
    </row>
    <row r="302" spans="1:8" x14ac:dyDescent="0.25">
      <c r="A302">
        <v>155368</v>
      </c>
      <c r="B302" t="s">
        <v>676</v>
      </c>
      <c r="C302" t="s">
        <v>677</v>
      </c>
      <c r="D302" t="s">
        <v>10</v>
      </c>
      <c r="E302" t="s">
        <v>251</v>
      </c>
      <c r="F302" t="s">
        <v>19</v>
      </c>
      <c r="G302" t="str">
        <f>HYPERLINK(_xlfn.CONCAT("https://tablet.otzar.org/",CHAR(35),"/book/155368/p/-1/t/1/fs/0/start/0/end/0/c"),"ספר הג""""ן - פירוש לחמישה חומשי תורה")</f>
        <v>ספר הג""ן - פירוש לחמישה חומשי תורה</v>
      </c>
      <c r="H302" t="str">
        <f>_xlfn.CONCAT("https://tablet.otzar.org/",CHAR(35),"/book/155368/p/-1/t/1/fs/0/start/0/end/0/c")</f>
        <v>https://tablet.otzar.org/#/book/155368/p/-1/t/1/fs/0/start/0/end/0/c</v>
      </c>
    </row>
    <row r="303" spans="1:8" x14ac:dyDescent="0.25">
      <c r="A303">
        <v>104095</v>
      </c>
      <c r="B303" t="s">
        <v>678</v>
      </c>
      <c r="C303" t="s">
        <v>53</v>
      </c>
      <c r="D303" t="s">
        <v>10</v>
      </c>
      <c r="E303" t="s">
        <v>369</v>
      </c>
      <c r="F303" t="s">
        <v>679</v>
      </c>
      <c r="G303" t="str">
        <f>HYPERLINK(_xlfn.CONCAT("https://tablet.otzar.org/",CHAR(35),"/exKotar/104095"),"ספר הגר""""א - 2 כרכים")</f>
        <v>ספר הגר""א - 2 כרכים</v>
      </c>
      <c r="H303" t="str">
        <f>_xlfn.CONCAT("https://tablet.otzar.org/",CHAR(35),"/exKotar/104095")</f>
        <v>https://tablet.otzar.org/#/exKotar/104095</v>
      </c>
    </row>
    <row r="304" spans="1:8" x14ac:dyDescent="0.25">
      <c r="A304">
        <v>155381</v>
      </c>
      <c r="B304" t="s">
        <v>680</v>
      </c>
      <c r="C304" t="s">
        <v>681</v>
      </c>
      <c r="D304" t="s">
        <v>10</v>
      </c>
      <c r="E304" t="s">
        <v>682</v>
      </c>
      <c r="F304" t="s">
        <v>683</v>
      </c>
      <c r="G304" t="str">
        <f>HYPERLINK(_xlfn.CONCAT("https://tablet.otzar.org/",CHAR(35),"/exKotar/155381"),"ספר הזהר &lt;ניצוצי זהר&gt;  - 3 כרכים")</f>
        <v>ספר הזהר &lt;ניצוצי זהר&gt;  - 3 כרכים</v>
      </c>
      <c r="H304" t="str">
        <f>_xlfn.CONCAT("https://tablet.otzar.org/",CHAR(35),"/exKotar/155381")</f>
        <v>https://tablet.otzar.org/#/exKotar/155381</v>
      </c>
    </row>
    <row r="305" spans="1:8" x14ac:dyDescent="0.25">
      <c r="A305">
        <v>157043</v>
      </c>
      <c r="B305" t="s">
        <v>684</v>
      </c>
      <c r="C305" t="s">
        <v>685</v>
      </c>
      <c r="D305" t="s">
        <v>10</v>
      </c>
      <c r="E305" t="s">
        <v>369</v>
      </c>
      <c r="G305" t="str">
        <f>HYPERLINK(_xlfn.CONCAT("https://tablet.otzar.org/",CHAR(35),"/book/157043/p/-1/t/1/fs/0/start/0/end/0/c"),"ספר החזיונות")</f>
        <v>ספר החזיונות</v>
      </c>
      <c r="H305" t="str">
        <f>_xlfn.CONCAT("https://tablet.otzar.org/",CHAR(35),"/book/157043/p/-1/t/1/fs/0/start/0/end/0/c")</f>
        <v>https://tablet.otzar.org/#/book/157043/p/-1/t/1/fs/0/start/0/end/0/c</v>
      </c>
    </row>
    <row r="306" spans="1:8" x14ac:dyDescent="0.25">
      <c r="A306">
        <v>15477</v>
      </c>
      <c r="B306" t="s">
        <v>686</v>
      </c>
      <c r="C306" t="s">
        <v>687</v>
      </c>
      <c r="D306" t="s">
        <v>10</v>
      </c>
      <c r="E306" t="s">
        <v>336</v>
      </c>
      <c r="F306" t="s">
        <v>110</v>
      </c>
      <c r="G306" t="str">
        <f>HYPERLINK(_xlfn.CONCAT("https://tablet.otzar.org/",CHAR(35),"/book/15477/p/-1/t/1/fs/0/start/0/end/0/c"),"ספר החיד""""א")</f>
        <v>ספר החיד""א</v>
      </c>
      <c r="H306" t="str">
        <f>_xlfn.CONCAT("https://tablet.otzar.org/",CHAR(35),"/book/15477/p/-1/t/1/fs/0/start/0/end/0/c")</f>
        <v>https://tablet.otzar.org/#/book/15477/p/-1/t/1/fs/0/start/0/end/0/c</v>
      </c>
    </row>
    <row r="307" spans="1:8" x14ac:dyDescent="0.25">
      <c r="A307">
        <v>155287</v>
      </c>
      <c r="B307" t="s">
        <v>688</v>
      </c>
      <c r="C307" t="s">
        <v>689</v>
      </c>
      <c r="D307" t="s">
        <v>10</v>
      </c>
      <c r="E307" t="s">
        <v>619</v>
      </c>
      <c r="F307" t="s">
        <v>23</v>
      </c>
      <c r="G307" t="str">
        <f>HYPERLINK(_xlfn.CONCAT("https://tablet.otzar.org/",CHAR(35),"/book/155287/p/-1/t/1/fs/0/start/0/end/0/c"),"ספר החינוך &lt;מוה""""ק&gt;")</f>
        <v>ספר החינוך &lt;מוה""ק&gt;</v>
      </c>
      <c r="H307" t="str">
        <f>_xlfn.CONCAT("https://tablet.otzar.org/",CHAR(35),"/book/155287/p/-1/t/1/fs/0/start/0/end/0/c")</f>
        <v>https://tablet.otzar.org/#/book/155287/p/-1/t/1/fs/0/start/0/end/0/c</v>
      </c>
    </row>
    <row r="308" spans="1:8" x14ac:dyDescent="0.25">
      <c r="A308">
        <v>10468</v>
      </c>
      <c r="B308" t="s">
        <v>690</v>
      </c>
      <c r="C308" t="s">
        <v>691</v>
      </c>
      <c r="D308" t="s">
        <v>10</v>
      </c>
      <c r="E308" t="s">
        <v>504</v>
      </c>
      <c r="F308" t="s">
        <v>72</v>
      </c>
      <c r="G308" t="str">
        <f>HYPERLINK(_xlfn.CONCAT("https://tablet.otzar.org/",CHAR(35),"/book/10468/p/-1/t/1/fs/0/start/0/end/0/c"),"ספר המדע לרמב""""ם")</f>
        <v>ספר המדע לרמב""ם</v>
      </c>
      <c r="H308" t="str">
        <f>_xlfn.CONCAT("https://tablet.otzar.org/",CHAR(35),"/book/10468/p/-1/t/1/fs/0/start/0/end/0/c")</f>
        <v>https://tablet.otzar.org/#/book/10468/p/-1/t/1/fs/0/start/0/end/0/c</v>
      </c>
    </row>
    <row r="309" spans="1:8" x14ac:dyDescent="0.25">
      <c r="A309">
        <v>15902</v>
      </c>
      <c r="B309" t="s">
        <v>692</v>
      </c>
      <c r="C309" t="s">
        <v>465</v>
      </c>
      <c r="D309" t="s">
        <v>10</v>
      </c>
      <c r="E309" t="s">
        <v>157</v>
      </c>
      <c r="F309" t="s">
        <v>31</v>
      </c>
      <c r="G309" t="str">
        <f>HYPERLINK(_xlfn.CONCAT("https://tablet.otzar.org/",CHAR(35),"/book/15902/p/-1/t/1/fs/0/start/0/end/0/c"),"ספר המליצה")</f>
        <v>ספר המליצה</v>
      </c>
      <c r="H309" t="str">
        <f>_xlfn.CONCAT("https://tablet.otzar.org/",CHAR(35),"/book/15902/p/-1/t/1/fs/0/start/0/end/0/c")</f>
        <v>https://tablet.otzar.org/#/book/15902/p/-1/t/1/fs/0/start/0/end/0/c</v>
      </c>
    </row>
    <row r="310" spans="1:8" x14ac:dyDescent="0.25">
      <c r="A310">
        <v>155088</v>
      </c>
      <c r="B310" t="s">
        <v>693</v>
      </c>
      <c r="C310" t="s">
        <v>694</v>
      </c>
      <c r="D310" t="s">
        <v>10</v>
      </c>
      <c r="E310" t="s">
        <v>144</v>
      </c>
      <c r="F310" t="s">
        <v>72</v>
      </c>
      <c r="G310" t="str">
        <f>HYPERLINK(_xlfn.CONCAT("https://tablet.otzar.org/",CHAR(35),"/exKotar/155088"),"ספר המנהיג &lt;מוה""""ק&gt;  - 2 כרכים")</f>
        <v>ספר המנהיג &lt;מוה""ק&gt;  - 2 כרכים</v>
      </c>
      <c r="H310" t="str">
        <f>_xlfn.CONCAT("https://tablet.otzar.org/",CHAR(35),"/exKotar/155088")</f>
        <v>https://tablet.otzar.org/#/exKotar/155088</v>
      </c>
    </row>
    <row r="311" spans="1:8" x14ac:dyDescent="0.25">
      <c r="A311">
        <v>156323</v>
      </c>
      <c r="B311" t="s">
        <v>695</v>
      </c>
      <c r="C311" t="s">
        <v>696</v>
      </c>
      <c r="D311" t="s">
        <v>10</v>
      </c>
      <c r="E311" t="s">
        <v>89</v>
      </c>
      <c r="F311" t="s">
        <v>72</v>
      </c>
      <c r="G311" t="str">
        <f>HYPERLINK(_xlfn.CONCAT("https://tablet.otzar.org/",CHAR(35),"/book/156323/p/-1/t/1/fs/0/start/0/end/0/c"),"ספר המנוחה")</f>
        <v>ספר המנוחה</v>
      </c>
      <c r="H311" t="str">
        <f>_xlfn.CONCAT("https://tablet.otzar.org/",CHAR(35),"/book/156323/p/-1/t/1/fs/0/start/0/end/0/c")</f>
        <v>https://tablet.otzar.org/#/book/156323/p/-1/t/1/fs/0/start/0/end/0/c</v>
      </c>
    </row>
    <row r="312" spans="1:8" x14ac:dyDescent="0.25">
      <c r="A312">
        <v>155354</v>
      </c>
      <c r="B312" t="s">
        <v>697</v>
      </c>
      <c r="C312" t="s">
        <v>317</v>
      </c>
      <c r="D312" t="s">
        <v>10</v>
      </c>
      <c r="E312" t="s">
        <v>103</v>
      </c>
      <c r="F312" t="s">
        <v>31</v>
      </c>
      <c r="G312" t="str">
        <f>HYPERLINK(_xlfn.CONCAT("https://tablet.otzar.org/",CHAR(35),"/book/155354/p/-1/t/1/fs/0/start/0/end/0/c"),"ספר המצות &lt;הערות ר' חיים העליר&gt;")</f>
        <v>ספר המצות &lt;הערות ר' חיים העליר&gt;</v>
      </c>
      <c r="H312" t="str">
        <f>_xlfn.CONCAT("https://tablet.otzar.org/",CHAR(35),"/book/155354/p/-1/t/1/fs/0/start/0/end/0/c")</f>
        <v>https://tablet.otzar.org/#/book/155354/p/-1/t/1/fs/0/start/0/end/0/c</v>
      </c>
    </row>
    <row r="313" spans="1:8" x14ac:dyDescent="0.25">
      <c r="A313">
        <v>155589</v>
      </c>
      <c r="B313" t="s">
        <v>698</v>
      </c>
      <c r="C313" t="s">
        <v>699</v>
      </c>
      <c r="D313" t="s">
        <v>10</v>
      </c>
      <c r="E313" t="s">
        <v>507</v>
      </c>
      <c r="F313" t="s">
        <v>31</v>
      </c>
      <c r="G313" t="str">
        <f>HYPERLINK(_xlfn.CONCAT("https://tablet.otzar.org/",CHAR(35),"/book/155589/p/-1/t/1/fs/0/start/0/end/0/c"),"ספר המצות להרמב""""ם עם השגות הרמב""""ן &lt;מוה""""ק&gt;")</f>
        <v>ספר המצות להרמב""ם עם השגות הרמב""ן &lt;מוה""ק&gt;</v>
      </c>
      <c r="H313" t="str">
        <f>_xlfn.CONCAT("https://tablet.otzar.org/",CHAR(35),"/book/155589/p/-1/t/1/fs/0/start/0/end/0/c")</f>
        <v>https://tablet.otzar.org/#/book/155589/p/-1/t/1/fs/0/start/0/end/0/c</v>
      </c>
    </row>
    <row r="314" spans="1:8" x14ac:dyDescent="0.25">
      <c r="A314">
        <v>155273</v>
      </c>
      <c r="B314" t="s">
        <v>700</v>
      </c>
      <c r="C314" t="s">
        <v>701</v>
      </c>
      <c r="D314" t="s">
        <v>10</v>
      </c>
      <c r="E314" t="s">
        <v>162</v>
      </c>
      <c r="F314" t="s">
        <v>31</v>
      </c>
      <c r="G314" t="str">
        <f>HYPERLINK(_xlfn.CONCAT("https://tablet.otzar.org/",CHAR(35),"/book/155273/p/-1/t/1/fs/0/start/0/end/0/c"),"ספר המצות לרמב""""ם &lt;מקור ותרגום&gt;")</f>
        <v>ספר המצות לרמב""ם &lt;מקור ותרגום&gt;</v>
      </c>
      <c r="H314" t="str">
        <f>_xlfn.CONCAT("https://tablet.otzar.org/",CHAR(35),"/book/155273/p/-1/t/1/fs/0/start/0/end/0/c")</f>
        <v>https://tablet.otzar.org/#/book/155273/p/-1/t/1/fs/0/start/0/end/0/c</v>
      </c>
    </row>
    <row r="315" spans="1:8" x14ac:dyDescent="0.25">
      <c r="A315">
        <v>157028</v>
      </c>
      <c r="B315" t="s">
        <v>702</v>
      </c>
      <c r="C315" t="s">
        <v>703</v>
      </c>
      <c r="D315" t="s">
        <v>10</v>
      </c>
      <c r="E315" t="s">
        <v>369</v>
      </c>
      <c r="G315" t="str">
        <f>HYPERLINK(_xlfn.CONCAT("https://tablet.otzar.org/",CHAR(35),"/book/157028/p/-1/t/1/fs/0/start/0/end/0/c"),"ספר העגונות")</f>
        <v>ספר העגונות</v>
      </c>
      <c r="H315" t="str">
        <f>_xlfn.CONCAT("https://tablet.otzar.org/",CHAR(35),"/book/157028/p/-1/t/1/fs/0/start/0/end/0/c")</f>
        <v>https://tablet.otzar.org/#/book/157028/p/-1/t/1/fs/0/start/0/end/0/c</v>
      </c>
    </row>
    <row r="316" spans="1:8" x14ac:dyDescent="0.25">
      <c r="A316">
        <v>155588</v>
      </c>
      <c r="B316" t="s">
        <v>704</v>
      </c>
      <c r="C316" t="s">
        <v>705</v>
      </c>
      <c r="D316" t="s">
        <v>10</v>
      </c>
      <c r="E316" t="s">
        <v>501</v>
      </c>
      <c r="F316" t="s">
        <v>97</v>
      </c>
      <c r="G316" t="str">
        <f>HYPERLINK(_xlfn.CONCAT("https://tablet.otzar.org/",CHAR(35),"/exKotar/155588"),"ספר העיקרים ביאורים בעיקרי ההלכות - 2 כרכים")</f>
        <v>ספר העיקרים ביאורים בעיקרי ההלכות - 2 כרכים</v>
      </c>
      <c r="H316" t="str">
        <f>_xlfn.CONCAT("https://tablet.otzar.org/",CHAR(35),"/exKotar/155588")</f>
        <v>https://tablet.otzar.org/#/exKotar/155588</v>
      </c>
    </row>
    <row r="317" spans="1:8" x14ac:dyDescent="0.25">
      <c r="A317">
        <v>155195</v>
      </c>
      <c r="B317" t="s">
        <v>706</v>
      </c>
      <c r="C317" t="s">
        <v>707</v>
      </c>
      <c r="D317" t="s">
        <v>10</v>
      </c>
      <c r="E317" t="s">
        <v>675</v>
      </c>
      <c r="F317" t="s">
        <v>72</v>
      </c>
      <c r="G317" t="str">
        <f>HYPERLINK(_xlfn.CONCAT("https://tablet.otzar.org/",CHAR(35),"/book/155195/p/-1/t/1/fs/0/start/0/end/0/c"),"ספר השמיטה")</f>
        <v>ספר השמיטה</v>
      </c>
      <c r="H317" t="str">
        <f>_xlfn.CONCAT("https://tablet.otzar.org/",CHAR(35),"/book/155195/p/-1/t/1/fs/0/start/0/end/0/c")</f>
        <v>https://tablet.otzar.org/#/book/155195/p/-1/t/1/fs/0/start/0/end/0/c</v>
      </c>
    </row>
    <row r="318" spans="1:8" x14ac:dyDescent="0.25">
      <c r="A318">
        <v>677772</v>
      </c>
      <c r="B318" t="s">
        <v>708</v>
      </c>
      <c r="C318" t="s">
        <v>709</v>
      </c>
      <c r="D318" t="s">
        <v>10</v>
      </c>
      <c r="E318" t="s">
        <v>148</v>
      </c>
      <c r="F318" t="s">
        <v>581</v>
      </c>
      <c r="G318" t="str">
        <f>HYPERLINK(_xlfn.CONCAT("https://tablet.otzar.org/",CHAR(35),"/exKotar/677772"),"ספר התשובה &lt;בארי בשדה&gt; - 2 כרכים")</f>
        <v>ספר התשובה &lt;בארי בשדה&gt; - 2 כרכים</v>
      </c>
      <c r="H318" t="str">
        <f>_xlfn.CONCAT("https://tablet.otzar.org/",CHAR(35),"/exKotar/677772")</f>
        <v>https://tablet.otzar.org/#/exKotar/677772</v>
      </c>
    </row>
    <row r="319" spans="1:8" x14ac:dyDescent="0.25">
      <c r="A319">
        <v>155570</v>
      </c>
      <c r="B319" t="s">
        <v>710</v>
      </c>
      <c r="C319" t="s">
        <v>711</v>
      </c>
      <c r="D319" t="s">
        <v>10</v>
      </c>
      <c r="E319" t="s">
        <v>216</v>
      </c>
      <c r="F319" t="s">
        <v>120</v>
      </c>
      <c r="G319" t="str">
        <f>HYPERLINK(_xlfn.CONCAT("https://tablet.otzar.org/",CHAR(35),"/book/155570/p/-1/t/1/fs/0/start/0/end/0/c"),"ספר זכרון להגאון רבי שילה רפאל זצ""""ל")</f>
        <v>ספר זכרון להגאון רבי שילה רפאל זצ""ל</v>
      </c>
      <c r="H319" t="str">
        <f>_xlfn.CONCAT("https://tablet.otzar.org/",CHAR(35),"/book/155570/p/-1/t/1/fs/0/start/0/end/0/c")</f>
        <v>https://tablet.otzar.org/#/book/155570/p/-1/t/1/fs/0/start/0/end/0/c</v>
      </c>
    </row>
    <row r="320" spans="1:8" x14ac:dyDescent="0.25">
      <c r="A320">
        <v>155274</v>
      </c>
      <c r="B320" t="s">
        <v>712</v>
      </c>
      <c r="C320" t="s">
        <v>713</v>
      </c>
      <c r="D320" t="s">
        <v>10</v>
      </c>
      <c r="E320" t="s">
        <v>139</v>
      </c>
      <c r="F320" t="s">
        <v>72</v>
      </c>
      <c r="G320" t="str">
        <f>HYPERLINK(_xlfn.CONCAT("https://tablet.otzar.org/",CHAR(35),"/book/155274/p/-1/t/1/fs/0/start/0/end/0/c"),"ספר חסידים &lt;מקור חסד&gt;")</f>
        <v>ספר חסידים &lt;מקור חסד&gt;</v>
      </c>
      <c r="H320" t="str">
        <f>_xlfn.CONCAT("https://tablet.otzar.org/",CHAR(35),"/book/155274/p/-1/t/1/fs/0/start/0/end/0/c")</f>
        <v>https://tablet.otzar.org/#/book/155274/p/-1/t/1/fs/0/start/0/end/0/c</v>
      </c>
    </row>
    <row r="321" spans="1:8" x14ac:dyDescent="0.25">
      <c r="A321">
        <v>681335</v>
      </c>
      <c r="B321" t="s">
        <v>714</v>
      </c>
      <c r="C321" t="s">
        <v>53</v>
      </c>
      <c r="D321" t="s">
        <v>10</v>
      </c>
      <c r="E321" t="s">
        <v>189</v>
      </c>
      <c r="F321" t="s">
        <v>350</v>
      </c>
      <c r="G321" t="str">
        <f>HYPERLINK(_xlfn.CONCAT("https://tablet.otzar.org/",CHAR(35),"/book/681335/p/-1/t/1/fs/0/start/0/end/0/c"),"ספר יצירה עם ביאור הגר""""א &lt;המפורש&gt;")</f>
        <v>ספר יצירה עם ביאור הגר""א &lt;המפורש&gt;</v>
      </c>
      <c r="H321" t="str">
        <f>_xlfn.CONCAT("https://tablet.otzar.org/",CHAR(35),"/book/681335/p/-1/t/1/fs/0/start/0/end/0/c")</f>
        <v>https://tablet.otzar.org/#/book/681335/p/-1/t/1/fs/0/start/0/end/0/c</v>
      </c>
    </row>
    <row r="322" spans="1:8" x14ac:dyDescent="0.25">
      <c r="A322">
        <v>601541</v>
      </c>
      <c r="B322" t="s">
        <v>715</v>
      </c>
      <c r="C322" t="s">
        <v>17</v>
      </c>
      <c r="D322" t="s">
        <v>10</v>
      </c>
      <c r="E322" t="s">
        <v>127</v>
      </c>
      <c r="F322" t="s">
        <v>31</v>
      </c>
      <c r="G322" t="str">
        <f>HYPERLINK(_xlfn.CONCAT("https://tablet.otzar.org/",CHAR(35),"/book/601541/p/-1/t/1/fs/0/start/0/end/0/c"),"ספר מאזנים")</f>
        <v>ספר מאזנים</v>
      </c>
      <c r="H322" t="str">
        <f>_xlfn.CONCAT("https://tablet.otzar.org/",CHAR(35),"/book/601541/p/-1/t/1/fs/0/start/0/end/0/c")</f>
        <v>https://tablet.otzar.org/#/book/601541/p/-1/t/1/fs/0/start/0/end/0/c</v>
      </c>
    </row>
    <row r="323" spans="1:8" x14ac:dyDescent="0.25">
      <c r="A323">
        <v>155277</v>
      </c>
      <c r="B323" t="s">
        <v>716</v>
      </c>
      <c r="C323" t="s">
        <v>717</v>
      </c>
      <c r="D323" t="s">
        <v>10</v>
      </c>
      <c r="E323" t="s">
        <v>251</v>
      </c>
      <c r="F323" t="s">
        <v>19</v>
      </c>
      <c r="G323" t="str">
        <f>HYPERLINK(_xlfn.CONCAT("https://tablet.otzar.org/",CHAR(35),"/book/155277/p/-1/t/1/fs/0/start/0/end/0/c"),"ספר משלי בדברי חז""""ל עם ביאור דברי יעקב")</f>
        <v>ספר משלי בדברי חז""ל עם ביאור דברי יעקב</v>
      </c>
      <c r="H323" t="str">
        <f>_xlfn.CONCAT("https://tablet.otzar.org/",CHAR(35),"/book/155277/p/-1/t/1/fs/0/start/0/end/0/c")</f>
        <v>https://tablet.otzar.org/#/book/155277/p/-1/t/1/fs/0/start/0/end/0/c</v>
      </c>
    </row>
    <row r="324" spans="1:8" x14ac:dyDescent="0.25">
      <c r="A324">
        <v>601562</v>
      </c>
      <c r="B324" t="s">
        <v>718</v>
      </c>
      <c r="C324" t="s">
        <v>17</v>
      </c>
      <c r="D324" t="s">
        <v>10</v>
      </c>
      <c r="E324" t="s">
        <v>127</v>
      </c>
      <c r="F324" t="s">
        <v>31</v>
      </c>
      <c r="G324" t="str">
        <f>HYPERLINK(_xlfn.CONCAT("https://tablet.otzar.org/",CHAR(35),"/book/601562/p/-1/t/1/fs/0/start/0/end/0/c"),"ספר צחות &lt;מהדורה חדשה&gt;")</f>
        <v>ספר צחות &lt;מהדורה חדשה&gt;</v>
      </c>
      <c r="H324" t="str">
        <f>_xlfn.CONCAT("https://tablet.otzar.org/",CHAR(35),"/book/601562/p/-1/t/1/fs/0/start/0/end/0/c")</f>
        <v>https://tablet.otzar.org/#/book/601562/p/-1/t/1/fs/0/start/0/end/0/c</v>
      </c>
    </row>
    <row r="325" spans="1:8" x14ac:dyDescent="0.25">
      <c r="A325">
        <v>170008</v>
      </c>
      <c r="B325" t="s">
        <v>719</v>
      </c>
      <c r="C325" t="s">
        <v>720</v>
      </c>
      <c r="D325" t="s">
        <v>10</v>
      </c>
      <c r="E325" t="s">
        <v>124</v>
      </c>
      <c r="F325" t="s">
        <v>19</v>
      </c>
      <c r="G325" t="str">
        <f>HYPERLINK(_xlfn.CONCAT("https://tablet.otzar.org/",CHAR(35),"/book/170008/p/-1/t/1/fs/0/start/0/end/0/c"),"ספר קהלת עם פירושי אבן עזרא")</f>
        <v>ספר קהלת עם פירושי אבן עזרא</v>
      </c>
      <c r="H325" t="str">
        <f>_xlfn.CONCAT("https://tablet.otzar.org/",CHAR(35),"/book/170008/p/-1/t/1/fs/0/start/0/end/0/c")</f>
        <v>https://tablet.otzar.org/#/book/170008/p/-1/t/1/fs/0/start/0/end/0/c</v>
      </c>
    </row>
    <row r="326" spans="1:8" x14ac:dyDescent="0.25">
      <c r="A326">
        <v>157369</v>
      </c>
      <c r="B326" t="s">
        <v>721</v>
      </c>
      <c r="C326" t="s">
        <v>722</v>
      </c>
      <c r="D326" t="s">
        <v>10</v>
      </c>
      <c r="E326" t="s">
        <v>18</v>
      </c>
      <c r="F326" t="s">
        <v>19</v>
      </c>
      <c r="G326" t="str">
        <f>HYPERLINK(_xlfn.CONCAT("https://tablet.otzar.org/",CHAR(35),"/exKotar/157369"),"ספר רושיינא - 4 כרכים")</f>
        <v>ספר רושיינא - 4 כרכים</v>
      </c>
      <c r="H326" t="str">
        <f>_xlfn.CONCAT("https://tablet.otzar.org/",CHAR(35),"/exKotar/157369")</f>
        <v>https://tablet.otzar.org/#/exKotar/157369</v>
      </c>
    </row>
    <row r="327" spans="1:8" x14ac:dyDescent="0.25">
      <c r="A327">
        <v>155286</v>
      </c>
      <c r="B327" t="s">
        <v>723</v>
      </c>
      <c r="C327" t="s">
        <v>724</v>
      </c>
      <c r="D327" t="s">
        <v>10</v>
      </c>
      <c r="E327" t="s">
        <v>142</v>
      </c>
      <c r="F327" t="s">
        <v>120</v>
      </c>
      <c r="G327" t="str">
        <f>HYPERLINK(_xlfn.CONCAT("https://tablet.otzar.org/",CHAR(35),"/book/155286/p/-1/t/1/fs/0/start/0/end/0/c"),"ספר רפאל")</f>
        <v>ספר רפאל</v>
      </c>
      <c r="H327" t="str">
        <f>_xlfn.CONCAT("https://tablet.otzar.org/",CHAR(35),"/book/155286/p/-1/t/1/fs/0/start/0/end/0/c")</f>
        <v>https://tablet.otzar.org/#/book/155286/p/-1/t/1/fs/0/start/0/end/0/c</v>
      </c>
    </row>
    <row r="328" spans="1:8" x14ac:dyDescent="0.25">
      <c r="A328">
        <v>155196</v>
      </c>
      <c r="B328" t="s">
        <v>725</v>
      </c>
      <c r="C328" t="s">
        <v>25</v>
      </c>
      <c r="D328" t="s">
        <v>10</v>
      </c>
      <c r="E328" t="s">
        <v>436</v>
      </c>
      <c r="F328" t="s">
        <v>19</v>
      </c>
      <c r="G328" t="str">
        <f>HYPERLINK(_xlfn.CONCAT("https://tablet.otzar.org/",CHAR(35),"/book/155196/p/-1/t/1/fs/0/start/0/end/0/c"),"ספר תהלים עם פירוש רש""""ר הירש")</f>
        <v>ספר תהלים עם פירוש רש""ר הירש</v>
      </c>
      <c r="H328" t="str">
        <f>_xlfn.CONCAT("https://tablet.otzar.org/",CHAR(35),"/book/155196/p/-1/t/1/fs/0/start/0/end/0/c")</f>
        <v>https://tablet.otzar.org/#/book/155196/p/-1/t/1/fs/0/start/0/end/0/c</v>
      </c>
    </row>
    <row r="329" spans="1:8" x14ac:dyDescent="0.25">
      <c r="A329">
        <v>677797</v>
      </c>
      <c r="B329" t="s">
        <v>726</v>
      </c>
      <c r="C329" t="s">
        <v>53</v>
      </c>
      <c r="D329" t="s">
        <v>10</v>
      </c>
      <c r="E329" t="s">
        <v>244</v>
      </c>
      <c r="F329" t="s">
        <v>350</v>
      </c>
      <c r="G329" t="str">
        <f>HYPERLINK(_xlfn.CONCAT("https://tablet.otzar.org/",CHAR(35),"/book/677797/p/-1/t/1/fs/0/start/0/end/0/c"),"ספרא דצניעותא עם ביאור הגר""""א")</f>
        <v>ספרא דצניעותא עם ביאור הגר""א</v>
      </c>
      <c r="H329" t="str">
        <f>_xlfn.CONCAT("https://tablet.otzar.org/",CHAR(35),"/book/677797/p/-1/t/1/fs/0/start/0/end/0/c")</f>
        <v>https://tablet.otzar.org/#/book/677797/p/-1/t/1/fs/0/start/0/end/0/c</v>
      </c>
    </row>
    <row r="330" spans="1:8" x14ac:dyDescent="0.25">
      <c r="A330">
        <v>181022</v>
      </c>
      <c r="B330" t="s">
        <v>727</v>
      </c>
      <c r="C330" t="s">
        <v>728</v>
      </c>
      <c r="D330" t="s">
        <v>10</v>
      </c>
      <c r="E330" t="s">
        <v>285</v>
      </c>
      <c r="F330" t="s">
        <v>110</v>
      </c>
      <c r="G330" t="str">
        <f>HYPERLINK(_xlfn.CONCAT("https://tablet.otzar.org/",CHAR(35),"/book/181022/p/-1/t/1/fs/0/start/0/end/0/c"),"ספרא וסייפא")</f>
        <v>ספרא וסייפא</v>
      </c>
      <c r="H330" t="str">
        <f>_xlfn.CONCAT("https://tablet.otzar.org/",CHAR(35),"/book/181022/p/-1/t/1/fs/0/start/0/end/0/c")</f>
        <v>https://tablet.otzar.org/#/book/181022/p/-1/t/1/fs/0/start/0/end/0/c</v>
      </c>
    </row>
    <row r="331" spans="1:8" x14ac:dyDescent="0.25">
      <c r="A331">
        <v>155515</v>
      </c>
      <c r="B331" t="s">
        <v>729</v>
      </c>
      <c r="C331" t="s">
        <v>730</v>
      </c>
      <c r="D331" t="s">
        <v>10</v>
      </c>
      <c r="E331" t="s">
        <v>30</v>
      </c>
      <c r="F331" t="s">
        <v>35</v>
      </c>
      <c r="G331" t="str">
        <f>HYPERLINK(_xlfn.CONCAT("https://tablet.otzar.org/",CHAR(35),"/exKotar/155515"),"ספרי עם פירוש תולדות אדם - 2 כרכים")</f>
        <v>ספרי עם פירוש תולדות אדם - 2 כרכים</v>
      </c>
      <c r="H331" t="str">
        <f>_xlfn.CONCAT("https://tablet.otzar.org/",CHAR(35),"/exKotar/155515")</f>
        <v>https://tablet.otzar.org/#/exKotar/155515</v>
      </c>
    </row>
    <row r="332" spans="1:8" x14ac:dyDescent="0.25">
      <c r="A332">
        <v>155377</v>
      </c>
      <c r="B332" t="s">
        <v>731</v>
      </c>
      <c r="C332" t="s">
        <v>732</v>
      </c>
      <c r="D332" t="s">
        <v>10</v>
      </c>
      <c r="E332" t="s">
        <v>71</v>
      </c>
      <c r="F332" t="s">
        <v>31</v>
      </c>
      <c r="G332" t="str">
        <f>HYPERLINK(_xlfn.CONCAT("https://tablet.otzar.org/",CHAR(35),"/exKotar/155377"),"ספרים באנגלית - 8 כרכים")</f>
        <v>ספרים באנגלית - 8 כרכים</v>
      </c>
      <c r="H332" t="str">
        <f>_xlfn.CONCAT("https://tablet.otzar.org/",CHAR(35),"/exKotar/155377")</f>
        <v>https://tablet.otzar.org/#/exKotar/155377</v>
      </c>
    </row>
    <row r="333" spans="1:8" x14ac:dyDescent="0.25">
      <c r="A333">
        <v>155549</v>
      </c>
      <c r="B333" t="s">
        <v>733</v>
      </c>
      <c r="C333" t="s">
        <v>734</v>
      </c>
      <c r="D333" t="s">
        <v>10</v>
      </c>
      <c r="E333" t="s">
        <v>131</v>
      </c>
      <c r="F333" t="s">
        <v>72</v>
      </c>
      <c r="G333" t="str">
        <f>HYPERLINK(_xlfn.CONCAT("https://tablet.otzar.org/",CHAR(35),"/book/155549/p/-1/t/1/fs/0/start/0/end/0/c"),"עבודת המלך &lt;מוה""""ק&gt;")</f>
        <v>עבודת המלך &lt;מוה""ק&gt;</v>
      </c>
      <c r="H333" t="str">
        <f>_xlfn.CONCAT("https://tablet.otzar.org/",CHAR(35),"/book/155549/p/-1/t/1/fs/0/start/0/end/0/c")</f>
        <v>https://tablet.otzar.org/#/book/155549/p/-1/t/1/fs/0/start/0/end/0/c</v>
      </c>
    </row>
    <row r="334" spans="1:8" x14ac:dyDescent="0.25">
      <c r="A334">
        <v>194434</v>
      </c>
      <c r="B334" t="s">
        <v>735</v>
      </c>
      <c r="C334" t="s">
        <v>736</v>
      </c>
      <c r="D334" t="s">
        <v>10</v>
      </c>
      <c r="E334" t="s">
        <v>285</v>
      </c>
      <c r="F334" t="s">
        <v>186</v>
      </c>
      <c r="G334" t="str">
        <f>HYPERLINK(_xlfn.CONCAT("https://tablet.otzar.org/",CHAR(35),"/book/194434/p/-1/t/1/fs/0/start/0/end/0/c"),"עבודת הנפש")</f>
        <v>עבודת הנפש</v>
      </c>
      <c r="H334" t="str">
        <f>_xlfn.CONCAT("https://tablet.otzar.org/",CHAR(35),"/book/194434/p/-1/t/1/fs/0/start/0/end/0/c")</f>
        <v>https://tablet.otzar.org/#/book/194434/p/-1/t/1/fs/0/start/0/end/0/c</v>
      </c>
    </row>
    <row r="335" spans="1:8" x14ac:dyDescent="0.25">
      <c r="A335">
        <v>155261</v>
      </c>
      <c r="B335" t="s">
        <v>737</v>
      </c>
      <c r="C335" t="s">
        <v>738</v>
      </c>
      <c r="D335" t="s">
        <v>10</v>
      </c>
      <c r="E335" t="s">
        <v>139</v>
      </c>
      <c r="F335" t="s">
        <v>72</v>
      </c>
      <c r="G335" t="str">
        <f>HYPERLINK(_xlfn.CONCAT("https://tablet.otzar.org/",CHAR(35),"/exKotar/155261"),"עבודת הקודש עם ביאור עבודת עבודה - 2 כרכים")</f>
        <v>עבודת הקודש עם ביאור עבודת עבודה - 2 כרכים</v>
      </c>
      <c r="H335" t="str">
        <f>_xlfn.CONCAT("https://tablet.otzar.org/",CHAR(35),"/exKotar/155261")</f>
        <v>https://tablet.otzar.org/#/exKotar/155261</v>
      </c>
    </row>
    <row r="336" spans="1:8" x14ac:dyDescent="0.25">
      <c r="A336">
        <v>155183</v>
      </c>
      <c r="B336" t="s">
        <v>739</v>
      </c>
      <c r="C336" t="s">
        <v>740</v>
      </c>
      <c r="D336" t="s">
        <v>10</v>
      </c>
      <c r="E336" t="s">
        <v>142</v>
      </c>
      <c r="F336" t="s">
        <v>92</v>
      </c>
      <c r="G336" t="str">
        <f>HYPERLINK(_xlfn.CONCAT("https://tablet.otzar.org/",CHAR(35),"/book/155183/p/-1/t/1/fs/0/start/0/end/0/c"),"עדות ביעקב - שו""""ת")</f>
        <v>עדות ביעקב - שו""ת</v>
      </c>
      <c r="H336" t="str">
        <f>_xlfn.CONCAT("https://tablet.otzar.org/",CHAR(35),"/book/155183/p/-1/t/1/fs/0/start/0/end/0/c")</f>
        <v>https://tablet.otzar.org/#/book/155183/p/-1/t/1/fs/0/start/0/end/0/c</v>
      </c>
    </row>
    <row r="337" spans="1:8" x14ac:dyDescent="0.25">
      <c r="A337">
        <v>606739</v>
      </c>
      <c r="B337" t="s">
        <v>741</v>
      </c>
      <c r="C337" t="s">
        <v>188</v>
      </c>
      <c r="D337" t="s">
        <v>10</v>
      </c>
      <c r="E337" t="s">
        <v>83</v>
      </c>
      <c r="F337" t="s">
        <v>31</v>
      </c>
      <c r="G337" t="str">
        <f>HYPERLINK(_xlfn.CONCAT("https://tablet.otzar.org/",CHAR(35),"/book/606739/p/-1/t/1/fs/0/start/0/end/0/c"),"עולם הקרבנות")</f>
        <v>עולם הקרבנות</v>
      </c>
      <c r="H337" t="str">
        <f>_xlfn.CONCAT("https://tablet.otzar.org/",CHAR(35),"/book/606739/p/-1/t/1/fs/0/start/0/end/0/c")</f>
        <v>https://tablet.otzar.org/#/book/606739/p/-1/t/1/fs/0/start/0/end/0/c</v>
      </c>
    </row>
    <row r="338" spans="1:8" x14ac:dyDescent="0.25">
      <c r="A338">
        <v>155292</v>
      </c>
      <c r="B338" t="s">
        <v>742</v>
      </c>
      <c r="C338" t="s">
        <v>743</v>
      </c>
      <c r="D338" t="s">
        <v>10</v>
      </c>
      <c r="E338" t="s">
        <v>103</v>
      </c>
      <c r="F338" t="s">
        <v>229</v>
      </c>
      <c r="G338" t="str">
        <f>HYPERLINK(_xlfn.CONCAT("https://tablet.otzar.org/",CHAR(35),"/exKotar/155292"),"עולם התפילות - 2 כרכים")</f>
        <v>עולם התפילות - 2 כרכים</v>
      </c>
      <c r="H338" t="str">
        <f>_xlfn.CONCAT("https://tablet.otzar.org/",CHAR(35),"/exKotar/155292")</f>
        <v>https://tablet.otzar.org/#/exKotar/155292</v>
      </c>
    </row>
    <row r="339" spans="1:8" x14ac:dyDescent="0.25">
      <c r="A339">
        <v>154971</v>
      </c>
      <c r="B339" t="s">
        <v>744</v>
      </c>
      <c r="C339" t="s">
        <v>74</v>
      </c>
      <c r="D339" t="s">
        <v>10</v>
      </c>
      <c r="E339" t="s">
        <v>47</v>
      </c>
      <c r="F339" t="s">
        <v>51</v>
      </c>
      <c r="G339" t="str">
        <f>HYPERLINK(_xlfn.CONCAT("https://tablet.otzar.org/",CHAR(35),"/book/154971/p/-1/t/1/fs/0/start/0/end/0/c"),"עזרת כהן")</f>
        <v>עזרת כהן</v>
      </c>
      <c r="H339" t="str">
        <f>_xlfn.CONCAT("https://tablet.otzar.org/",CHAR(35),"/book/154971/p/-1/t/1/fs/0/start/0/end/0/c")</f>
        <v>https://tablet.otzar.org/#/book/154971/p/-1/t/1/fs/0/start/0/end/0/c</v>
      </c>
    </row>
    <row r="340" spans="1:8" x14ac:dyDescent="0.25">
      <c r="A340">
        <v>156243</v>
      </c>
      <c r="B340" t="s">
        <v>745</v>
      </c>
      <c r="C340" t="s">
        <v>746</v>
      </c>
      <c r="D340" t="s">
        <v>10</v>
      </c>
      <c r="E340" t="s">
        <v>26</v>
      </c>
      <c r="F340" t="s">
        <v>31</v>
      </c>
      <c r="G340" t="str">
        <f>HYPERLINK(_xlfn.CONCAT("https://tablet.otzar.org/",CHAR(35),"/book/156243/p/-1/t/1/fs/0/start/0/end/0/c"),"עיון וחקר")</f>
        <v>עיון וחקר</v>
      </c>
      <c r="H340" t="str">
        <f>_xlfn.CONCAT("https://tablet.otzar.org/",CHAR(35),"/book/156243/p/-1/t/1/fs/0/start/0/end/0/c")</f>
        <v>https://tablet.otzar.org/#/book/156243/p/-1/t/1/fs/0/start/0/end/0/c</v>
      </c>
    </row>
    <row r="341" spans="1:8" x14ac:dyDescent="0.25">
      <c r="A341">
        <v>601544</v>
      </c>
      <c r="B341" t="s">
        <v>747</v>
      </c>
      <c r="C341" t="s">
        <v>297</v>
      </c>
      <c r="D341" t="s">
        <v>10</v>
      </c>
      <c r="E341" t="s">
        <v>127</v>
      </c>
      <c r="F341" t="s">
        <v>229</v>
      </c>
      <c r="G341" t="str">
        <f>HYPERLINK(_xlfn.CONCAT("https://tablet.otzar.org/",CHAR(35),"/book/601544/p/-1/t/1/fs/0/start/0/end/0/c"),"עיון תפילה")</f>
        <v>עיון תפילה</v>
      </c>
      <c r="H341" t="str">
        <f>_xlfn.CONCAT("https://tablet.otzar.org/",CHAR(35),"/book/601544/p/-1/t/1/fs/0/start/0/end/0/c")</f>
        <v>https://tablet.otzar.org/#/book/601544/p/-1/t/1/fs/0/start/0/end/0/c</v>
      </c>
    </row>
    <row r="342" spans="1:8" x14ac:dyDescent="0.25">
      <c r="A342">
        <v>155301</v>
      </c>
      <c r="B342" t="s">
        <v>748</v>
      </c>
      <c r="C342" t="s">
        <v>749</v>
      </c>
      <c r="D342" t="s">
        <v>10</v>
      </c>
      <c r="E342" t="s">
        <v>507</v>
      </c>
      <c r="F342" t="s">
        <v>19</v>
      </c>
      <c r="G342" t="str">
        <f>HYPERLINK(_xlfn.CONCAT("https://tablet.otzar.org/",CHAR(35),"/book/155301/p/-1/t/1/fs/0/start/0/end/0/c"),"עיונים בביאור על התורה לרבינו בחיי בן אשר")</f>
        <v>עיונים בביאור על התורה לרבינו בחיי בן אשר</v>
      </c>
      <c r="H342" t="str">
        <f>_xlfn.CONCAT("https://tablet.otzar.org/",CHAR(35),"/book/155301/p/-1/t/1/fs/0/start/0/end/0/c")</f>
        <v>https://tablet.otzar.org/#/book/155301/p/-1/t/1/fs/0/start/0/end/0/c</v>
      </c>
    </row>
    <row r="343" spans="1:8" x14ac:dyDescent="0.25">
      <c r="A343">
        <v>103627</v>
      </c>
      <c r="B343" t="s">
        <v>750</v>
      </c>
      <c r="C343" t="s">
        <v>552</v>
      </c>
      <c r="D343" t="s">
        <v>10</v>
      </c>
      <c r="E343" t="s">
        <v>144</v>
      </c>
      <c r="F343" t="s">
        <v>110</v>
      </c>
      <c r="G343" t="str">
        <f>HYPERLINK(_xlfn.CONCAT("https://tablet.otzar.org/",CHAR(35),"/book/103627/p/-1/t/1/fs/0/start/0/end/0/c"),"עיונים בדברי חז""""ל ובלשונם")</f>
        <v>עיונים בדברי חז""ל ובלשונם</v>
      </c>
      <c r="H343" t="str">
        <f>_xlfn.CONCAT("https://tablet.otzar.org/",CHAR(35),"/book/103627/p/-1/t/1/fs/0/start/0/end/0/c")</f>
        <v>https://tablet.otzar.org/#/book/103627/p/-1/t/1/fs/0/start/0/end/0/c</v>
      </c>
    </row>
    <row r="344" spans="1:8" x14ac:dyDescent="0.25">
      <c r="A344">
        <v>647302</v>
      </c>
      <c r="B344" t="s">
        <v>751</v>
      </c>
      <c r="C344" t="s">
        <v>319</v>
      </c>
      <c r="D344" t="s">
        <v>10</v>
      </c>
      <c r="E344" t="s">
        <v>44</v>
      </c>
      <c r="F344" t="s">
        <v>186</v>
      </c>
      <c r="G344" t="str">
        <f>HYPERLINK(_xlfn.CONCAT("https://tablet.otzar.org/",CHAR(35),"/book/647302/p/-1/t/1/fs/0/start/0/end/0/c"),"עיונים בכתביהם של בעלי המוסר")</f>
        <v>עיונים בכתביהם של בעלי המוסר</v>
      </c>
      <c r="H344" t="str">
        <f>_xlfn.CONCAT("https://tablet.otzar.org/",CHAR(35),"/book/647302/p/-1/t/1/fs/0/start/0/end/0/c")</f>
        <v>https://tablet.otzar.org/#/book/647302/p/-1/t/1/fs/0/start/0/end/0/c</v>
      </c>
    </row>
    <row r="345" spans="1:8" x14ac:dyDescent="0.25">
      <c r="A345">
        <v>157356</v>
      </c>
      <c r="B345" t="s">
        <v>752</v>
      </c>
      <c r="C345" t="s">
        <v>391</v>
      </c>
      <c r="D345" t="s">
        <v>10</v>
      </c>
      <c r="E345" t="s">
        <v>274</v>
      </c>
      <c r="F345" t="s">
        <v>152</v>
      </c>
      <c r="G345" t="str">
        <f>HYPERLINK(_xlfn.CONCAT("https://tablet.otzar.org/",CHAR(35),"/exKotar/157356"),"עיונים במסכתות התלמוד - 2 כרכים")</f>
        <v>עיונים במסכתות התלמוד - 2 כרכים</v>
      </c>
      <c r="H345" t="str">
        <f>_xlfn.CONCAT("https://tablet.otzar.org/",CHAR(35),"/exKotar/157356")</f>
        <v>https://tablet.otzar.org/#/exKotar/157356</v>
      </c>
    </row>
    <row r="346" spans="1:8" x14ac:dyDescent="0.25">
      <c r="A346">
        <v>103629</v>
      </c>
      <c r="B346" t="s">
        <v>753</v>
      </c>
      <c r="C346" t="s">
        <v>754</v>
      </c>
      <c r="D346" t="s">
        <v>10</v>
      </c>
      <c r="E346" t="s">
        <v>151</v>
      </c>
      <c r="F346" t="s">
        <v>423</v>
      </c>
      <c r="G346" t="str">
        <f>HYPERLINK(_xlfn.CONCAT("https://tablet.otzar.org/",CHAR(35),"/book/103629/p/-1/t/1/fs/0/start/0/end/0/c"),"עיונים במשנה תורה להרמב""""ם")</f>
        <v>עיונים במשנה תורה להרמב""ם</v>
      </c>
      <c r="H346" t="str">
        <f>_xlfn.CONCAT("https://tablet.otzar.org/",CHAR(35),"/book/103629/p/-1/t/1/fs/0/start/0/end/0/c")</f>
        <v>https://tablet.otzar.org/#/book/103629/p/-1/t/1/fs/0/start/0/end/0/c</v>
      </c>
    </row>
    <row r="347" spans="1:8" x14ac:dyDescent="0.25">
      <c r="A347">
        <v>194449</v>
      </c>
      <c r="B347" t="s">
        <v>755</v>
      </c>
      <c r="C347" t="s">
        <v>756</v>
      </c>
      <c r="D347" t="s">
        <v>10</v>
      </c>
      <c r="E347" t="s">
        <v>57</v>
      </c>
      <c r="F347" t="s">
        <v>72</v>
      </c>
      <c r="G347" t="str">
        <f>HYPERLINK(_xlfn.CONCAT("https://tablet.otzar.org/",CHAR(35),"/book/194449/p/-1/t/1/fs/0/start/0/end/0/c"),"עין הדעת")</f>
        <v>עין הדעת</v>
      </c>
      <c r="H347" t="str">
        <f>_xlfn.CONCAT("https://tablet.otzar.org/",CHAR(35),"/book/194449/p/-1/t/1/fs/0/start/0/end/0/c")</f>
        <v>https://tablet.otzar.org/#/book/194449/p/-1/t/1/fs/0/start/0/end/0/c</v>
      </c>
    </row>
    <row r="348" spans="1:8" x14ac:dyDescent="0.25">
      <c r="A348">
        <v>647303</v>
      </c>
      <c r="B348" t="s">
        <v>757</v>
      </c>
      <c r="C348" t="s">
        <v>758</v>
      </c>
      <c r="D348" t="s">
        <v>10</v>
      </c>
      <c r="E348" t="s">
        <v>189</v>
      </c>
      <c r="F348" t="s">
        <v>19</v>
      </c>
      <c r="G348" t="str">
        <f>HYPERLINK(_xlfn.CONCAT("https://tablet.otzar.org/",CHAR(35),"/book/647303/p/-1/t/1/fs/0/start/0/end/0/c"),"עיניך בשדה")</f>
        <v>עיניך בשדה</v>
      </c>
      <c r="H348" t="str">
        <f>_xlfn.CONCAT("https://tablet.otzar.org/",CHAR(35),"/book/647303/p/-1/t/1/fs/0/start/0/end/0/c")</f>
        <v>https://tablet.otzar.org/#/book/647303/p/-1/t/1/fs/0/start/0/end/0/c</v>
      </c>
    </row>
    <row r="349" spans="1:8" x14ac:dyDescent="0.25">
      <c r="A349">
        <v>606730</v>
      </c>
      <c r="B349" t="s">
        <v>759</v>
      </c>
      <c r="C349" t="s">
        <v>760</v>
      </c>
      <c r="D349" t="s">
        <v>10</v>
      </c>
      <c r="E349" t="s">
        <v>83</v>
      </c>
      <c r="F349" t="s">
        <v>186</v>
      </c>
      <c r="G349" t="str">
        <f>HYPERLINK(_xlfn.CONCAT("https://tablet.otzar.org/",CHAR(35),"/book/606730/p/-1/t/1/fs/0/start/0/end/0/c"),"על התפילה")</f>
        <v>על התפילה</v>
      </c>
      <c r="H349" t="str">
        <f>_xlfn.CONCAT("https://tablet.otzar.org/",CHAR(35),"/book/606730/p/-1/t/1/fs/0/start/0/end/0/c")</f>
        <v>https://tablet.otzar.org/#/book/606730/p/-1/t/1/fs/0/start/0/end/0/c</v>
      </c>
    </row>
    <row r="350" spans="1:8" x14ac:dyDescent="0.25">
      <c r="A350">
        <v>155528</v>
      </c>
      <c r="B350" t="s">
        <v>761</v>
      </c>
      <c r="C350" t="s">
        <v>762</v>
      </c>
      <c r="D350" t="s">
        <v>10</v>
      </c>
      <c r="E350" t="s">
        <v>501</v>
      </c>
      <c r="F350" t="s">
        <v>169</v>
      </c>
      <c r="G350" t="str">
        <f>HYPERLINK(_xlfn.CONCAT("https://tablet.otzar.org/",CHAR(35),"/book/155528/p/-1/t/1/fs/0/start/0/end/0/c"),"על חסידות וחסידים")</f>
        <v>על חסידות וחסידים</v>
      </c>
      <c r="H350" t="str">
        <f>_xlfn.CONCAT("https://tablet.otzar.org/",CHAR(35),"/book/155528/p/-1/t/1/fs/0/start/0/end/0/c")</f>
        <v>https://tablet.otzar.org/#/book/155528/p/-1/t/1/fs/0/start/0/end/0/c</v>
      </c>
    </row>
    <row r="351" spans="1:8" x14ac:dyDescent="0.25">
      <c r="A351">
        <v>627504</v>
      </c>
      <c r="B351" t="s">
        <v>763</v>
      </c>
      <c r="C351" t="s">
        <v>764</v>
      </c>
      <c r="D351" t="s">
        <v>10</v>
      </c>
      <c r="E351" t="s">
        <v>189</v>
      </c>
      <c r="F351" t="s">
        <v>97</v>
      </c>
      <c r="G351" t="str">
        <f>HYPERLINK(_xlfn.CONCAT("https://tablet.otzar.org/",CHAR(35),"/book/627504/p/-1/t/1/fs/0/start/0/end/0/c"),"עלי אור - מו""""ק, חול המועד, הלכות שמחות")</f>
        <v>עלי אור - מו""ק, חול המועד, הלכות שמחות</v>
      </c>
      <c r="H351" t="str">
        <f>_xlfn.CONCAT("https://tablet.otzar.org/",CHAR(35),"/book/627504/p/-1/t/1/fs/0/start/0/end/0/c")</f>
        <v>https://tablet.otzar.org/#/book/627504/p/-1/t/1/fs/0/start/0/end/0/c</v>
      </c>
    </row>
    <row r="352" spans="1:8" x14ac:dyDescent="0.25">
      <c r="A352">
        <v>687938</v>
      </c>
      <c r="B352" t="s">
        <v>763</v>
      </c>
      <c r="C352" t="s">
        <v>764</v>
      </c>
      <c r="D352" t="s">
        <v>10</v>
      </c>
      <c r="E352" t="s">
        <v>189</v>
      </c>
      <c r="F352" t="s">
        <v>97</v>
      </c>
      <c r="G352" t="str">
        <f>HYPERLINK(_xlfn.CONCAT("https://tablet.otzar.org/",CHAR(35),"/book/687938/p/-1/t/1/fs/0/start/0/end/0/c"),"עלי אור - מו""""ק, חול המועד, הלכות שמחות")</f>
        <v>עלי אור - מו""ק, חול המועד, הלכות שמחות</v>
      </c>
      <c r="H352" t="str">
        <f>_xlfn.CONCAT("https://tablet.otzar.org/",CHAR(35),"/book/687938/p/-1/t/1/fs/0/start/0/end/0/c")</f>
        <v>https://tablet.otzar.org/#/book/687938/p/-1/t/1/fs/0/start/0/end/0/c</v>
      </c>
    </row>
    <row r="353" spans="1:8" x14ac:dyDescent="0.25">
      <c r="A353">
        <v>156229</v>
      </c>
      <c r="B353" t="s">
        <v>765</v>
      </c>
      <c r="C353" t="s">
        <v>174</v>
      </c>
      <c r="D353" t="s">
        <v>10</v>
      </c>
      <c r="E353" t="s">
        <v>766</v>
      </c>
      <c r="F353" t="s">
        <v>23</v>
      </c>
      <c r="G353" t="str">
        <f>HYPERLINK(_xlfn.CONCAT("https://tablet.otzar.org/",CHAR(35),"/book/156229/p/-1/t/1/fs/0/start/0/end/0/c"),"עניינות בספרות הגאונים")</f>
        <v>עניינות בספרות הגאונים</v>
      </c>
      <c r="H353" t="str">
        <f>_xlfn.CONCAT("https://tablet.otzar.org/",CHAR(35),"/book/156229/p/-1/t/1/fs/0/start/0/end/0/c")</f>
        <v>https://tablet.otzar.org/#/book/156229/p/-1/t/1/fs/0/start/0/end/0/c</v>
      </c>
    </row>
    <row r="354" spans="1:8" x14ac:dyDescent="0.25">
      <c r="A354">
        <v>154975</v>
      </c>
      <c r="B354" t="s">
        <v>767</v>
      </c>
      <c r="C354" t="s">
        <v>74</v>
      </c>
      <c r="D354" t="s">
        <v>10</v>
      </c>
      <c r="E354" t="s">
        <v>75</v>
      </c>
      <c r="F354" t="s">
        <v>84</v>
      </c>
      <c r="G354" t="str">
        <f>HYPERLINK(_xlfn.CONCAT("https://tablet.otzar.org/",CHAR(35),"/book/154975/p/-1/t/1/fs/0/start/0/end/0/c"),"עץ הדר")</f>
        <v>עץ הדר</v>
      </c>
      <c r="H354" t="str">
        <f>_xlfn.CONCAT("https://tablet.otzar.org/",CHAR(35),"/book/154975/p/-1/t/1/fs/0/start/0/end/0/c")</f>
        <v>https://tablet.otzar.org/#/book/154975/p/-1/t/1/fs/0/start/0/end/0/c</v>
      </c>
    </row>
    <row r="355" spans="1:8" x14ac:dyDescent="0.25">
      <c r="A355">
        <v>157025</v>
      </c>
      <c r="B355" t="s">
        <v>768</v>
      </c>
      <c r="C355" t="s">
        <v>769</v>
      </c>
      <c r="D355" t="s">
        <v>10</v>
      </c>
      <c r="E355" t="s">
        <v>172</v>
      </c>
      <c r="F355" t="s">
        <v>72</v>
      </c>
      <c r="G355" t="str">
        <f>HYPERLINK(_xlfn.CONCAT("https://tablet.otzar.org/",CHAR(35),"/exKotar/157025"),"עץ חיים - 3 כרכים")</f>
        <v>עץ חיים - 3 כרכים</v>
      </c>
      <c r="H355" t="str">
        <f>_xlfn.CONCAT("https://tablet.otzar.org/",CHAR(35),"/exKotar/157025")</f>
        <v>https://tablet.otzar.org/#/exKotar/157025</v>
      </c>
    </row>
    <row r="356" spans="1:8" x14ac:dyDescent="0.25">
      <c r="A356">
        <v>155076</v>
      </c>
      <c r="B356" t="s">
        <v>770</v>
      </c>
      <c r="C356" t="s">
        <v>771</v>
      </c>
      <c r="D356" t="s">
        <v>10</v>
      </c>
      <c r="E356" t="s">
        <v>71</v>
      </c>
      <c r="F356" t="s">
        <v>72</v>
      </c>
      <c r="G356" t="str">
        <f>HYPERLINK(_xlfn.CONCAT("https://tablet.otzar.org/",CHAR(35),"/exKotar/155076"),"ערוך השלחן העתיד - 8 כרכים")</f>
        <v>ערוך השלחן העתיד - 8 כרכים</v>
      </c>
      <c r="H356" t="str">
        <f>_xlfn.CONCAT("https://tablet.otzar.org/",CHAR(35),"/exKotar/155076")</f>
        <v>https://tablet.otzar.org/#/exKotar/155076</v>
      </c>
    </row>
    <row r="357" spans="1:8" x14ac:dyDescent="0.25">
      <c r="A357">
        <v>156376</v>
      </c>
      <c r="B357" t="s">
        <v>772</v>
      </c>
      <c r="C357" t="s">
        <v>773</v>
      </c>
      <c r="D357" t="s">
        <v>10</v>
      </c>
      <c r="E357" t="s">
        <v>172</v>
      </c>
      <c r="F357" t="s">
        <v>468</v>
      </c>
      <c r="G357" t="str">
        <f>HYPERLINK(_xlfn.CONCAT("https://tablet.otzar.org/",CHAR(35),"/exKotar/156376"),"פחד יצחק &lt;מוה""""ק&gt;  - 5 כרכים")</f>
        <v>פחד יצחק &lt;מוה""ק&gt;  - 5 כרכים</v>
      </c>
      <c r="H357" t="str">
        <f>_xlfn.CONCAT("https://tablet.otzar.org/",CHAR(35),"/exKotar/156376")</f>
        <v>https://tablet.otzar.org/#/exKotar/156376</v>
      </c>
    </row>
    <row r="358" spans="1:8" x14ac:dyDescent="0.25">
      <c r="A358">
        <v>647362</v>
      </c>
      <c r="B358" t="s">
        <v>774</v>
      </c>
      <c r="C358" t="s">
        <v>317</v>
      </c>
      <c r="D358" t="s">
        <v>10</v>
      </c>
      <c r="E358" t="s">
        <v>44</v>
      </c>
      <c r="F358" t="s">
        <v>561</v>
      </c>
      <c r="G358" t="str">
        <f>HYPERLINK(_xlfn.CONCAT("https://tablet.otzar.org/",CHAR(35),"/book/647362/p/-1/t/1/fs/0/start/0/end/0/c"),"פירוש המשנה למסכת שוטה &lt;מהדורת מוה""""ק&gt;")</f>
        <v>פירוש המשנה למסכת שוטה &lt;מהדורת מוה""ק&gt;</v>
      </c>
      <c r="H358" t="str">
        <f>_xlfn.CONCAT("https://tablet.otzar.org/",CHAR(35),"/book/647362/p/-1/t/1/fs/0/start/0/end/0/c")</f>
        <v>https://tablet.otzar.org/#/book/647362/p/-1/t/1/fs/0/start/0/end/0/c</v>
      </c>
    </row>
    <row r="359" spans="1:8" x14ac:dyDescent="0.25">
      <c r="A359">
        <v>158455</v>
      </c>
      <c r="B359" t="s">
        <v>775</v>
      </c>
      <c r="C359" t="s">
        <v>776</v>
      </c>
      <c r="D359" t="s">
        <v>10</v>
      </c>
      <c r="E359" t="s">
        <v>177</v>
      </c>
      <c r="F359" t="s">
        <v>152</v>
      </c>
      <c r="G359" t="str">
        <f>HYPERLINK(_xlfn.CONCAT("https://tablet.otzar.org/",CHAR(35),"/book/158455/p/-1/t/1/fs/0/start/0/end/0/c"),"פירוש הר""""ח מסכת בבא מציעא")</f>
        <v>פירוש הר""ח מסכת בבא מציעא</v>
      </c>
      <c r="H359" t="str">
        <f>_xlfn.CONCAT("https://tablet.otzar.org/",CHAR(35),"/book/158455/p/-1/t/1/fs/0/start/0/end/0/c")</f>
        <v>https://tablet.otzar.org/#/book/158455/p/-1/t/1/fs/0/start/0/end/0/c</v>
      </c>
    </row>
    <row r="360" spans="1:8" x14ac:dyDescent="0.25">
      <c r="A360">
        <v>156322</v>
      </c>
      <c r="B360" t="s">
        <v>777</v>
      </c>
      <c r="C360" t="s">
        <v>778</v>
      </c>
      <c r="D360" t="s">
        <v>10</v>
      </c>
      <c r="E360" t="s">
        <v>206</v>
      </c>
      <c r="F360" t="s">
        <v>19</v>
      </c>
      <c r="G360" t="str">
        <f>HYPERLINK(_xlfn.CONCAT("https://tablet.otzar.org/",CHAR(35),"/book/156322/p/-1/t/1/fs/0/start/0/end/0/c"),"פירוש התורה לרב שמואל בן חפני גאון")</f>
        <v>פירוש התורה לרב שמואל בן חפני גאון</v>
      </c>
      <c r="H360" t="str">
        <f>_xlfn.CONCAT("https://tablet.otzar.org/",CHAR(35),"/book/156322/p/-1/t/1/fs/0/start/0/end/0/c")</f>
        <v>https://tablet.otzar.org/#/book/156322/p/-1/t/1/fs/0/start/0/end/0/c</v>
      </c>
    </row>
    <row r="361" spans="1:8" x14ac:dyDescent="0.25">
      <c r="A361">
        <v>601566</v>
      </c>
      <c r="B361" t="s">
        <v>779</v>
      </c>
      <c r="C361" t="s">
        <v>780</v>
      </c>
      <c r="D361" t="s">
        <v>10</v>
      </c>
      <c r="E361" t="s">
        <v>127</v>
      </c>
      <c r="F361" t="s">
        <v>19</v>
      </c>
      <c r="G361" t="str">
        <f>HYPERLINK(_xlfn.CONCAT("https://tablet.otzar.org/",CHAR(35),"/book/601566/p/-1/t/1/fs/0/start/0/end/0/c"),"פירוש לתהלים לרבנו יוסף חיון")</f>
        <v>פירוש לתהלים לרבנו יוסף חיון</v>
      </c>
      <c r="H361" t="str">
        <f>_xlfn.CONCAT("https://tablet.otzar.org/",CHAR(35),"/book/601566/p/-1/t/1/fs/0/start/0/end/0/c")</f>
        <v>https://tablet.otzar.org/#/book/601566/p/-1/t/1/fs/0/start/0/end/0/c</v>
      </c>
    </row>
    <row r="362" spans="1:8" x14ac:dyDescent="0.25">
      <c r="A362">
        <v>155131</v>
      </c>
      <c r="B362" t="s">
        <v>781</v>
      </c>
      <c r="C362" t="s">
        <v>17</v>
      </c>
      <c r="D362" t="s">
        <v>10</v>
      </c>
      <c r="E362" t="s">
        <v>50</v>
      </c>
      <c r="F362" t="s">
        <v>586</v>
      </c>
      <c r="G362" t="str">
        <f>HYPERLINK(_xlfn.CONCAT("https://tablet.otzar.org/",CHAR(35),"/book/155131/p/-1/t/1/fs/0/start/0/end/0/c"),"פירוש ספר יצירה אלמוני מיסודו של רבי אברהם אבולעפיא")</f>
        <v>פירוש ספר יצירה אלמוני מיסודו של רבי אברהם אבולעפיא</v>
      </c>
      <c r="H362" t="str">
        <f>_xlfn.CONCAT("https://tablet.otzar.org/",CHAR(35),"/book/155131/p/-1/t/1/fs/0/start/0/end/0/c")</f>
        <v>https://tablet.otzar.org/#/book/155131/p/-1/t/1/fs/0/start/0/end/0/c</v>
      </c>
    </row>
    <row r="363" spans="1:8" x14ac:dyDescent="0.25">
      <c r="A363">
        <v>157021</v>
      </c>
      <c r="B363" t="s">
        <v>782</v>
      </c>
      <c r="C363" t="s">
        <v>783</v>
      </c>
      <c r="D363" t="s">
        <v>10</v>
      </c>
      <c r="E363" t="s">
        <v>144</v>
      </c>
      <c r="F363" t="s">
        <v>152</v>
      </c>
      <c r="G363" t="str">
        <f>HYPERLINK(_xlfn.CONCAT("https://tablet.otzar.org/",CHAR(35),"/book/157021/p/-1/t/1/fs/0/start/0/end/0/c"),"פירוש על הרי""""ף")</f>
        <v>פירוש על הרי""ף</v>
      </c>
      <c r="H363" t="str">
        <f>_xlfn.CONCAT("https://tablet.otzar.org/",CHAR(35),"/book/157021/p/-1/t/1/fs/0/start/0/end/0/c")</f>
        <v>https://tablet.otzar.org/#/book/157021/p/-1/t/1/fs/0/start/0/end/0/c</v>
      </c>
    </row>
    <row r="364" spans="1:8" x14ac:dyDescent="0.25">
      <c r="A364">
        <v>157379</v>
      </c>
      <c r="B364" t="s">
        <v>784</v>
      </c>
      <c r="C364" t="s">
        <v>785</v>
      </c>
      <c r="D364" t="s">
        <v>10</v>
      </c>
      <c r="E364" t="s">
        <v>274</v>
      </c>
      <c r="F364" t="s">
        <v>19</v>
      </c>
      <c r="G364" t="str">
        <f>HYPERLINK(_xlfn.CONCAT("https://tablet.otzar.org/",CHAR(35),"/book/157379/p/-1/t/1/fs/0/start/0/end/0/c"),"פירוש רבי יוסף קרא לספר איוב")</f>
        <v>פירוש רבי יוסף קרא לספר איוב</v>
      </c>
      <c r="H364" t="str">
        <f>_xlfn.CONCAT("https://tablet.otzar.org/",CHAR(35),"/book/157379/p/-1/t/1/fs/0/start/0/end/0/c")</f>
        <v>https://tablet.otzar.org/#/book/157379/p/-1/t/1/fs/0/start/0/end/0/c</v>
      </c>
    </row>
    <row r="365" spans="1:8" x14ac:dyDescent="0.25">
      <c r="A365">
        <v>155363</v>
      </c>
      <c r="B365" t="s">
        <v>786</v>
      </c>
      <c r="C365" t="s">
        <v>787</v>
      </c>
      <c r="D365" t="s">
        <v>10</v>
      </c>
      <c r="E365" t="s">
        <v>41</v>
      </c>
      <c r="F365" t="s">
        <v>152</v>
      </c>
      <c r="G365" t="str">
        <f>HYPERLINK(_xlfn.CONCAT("https://tablet.otzar.org/",CHAR(35),"/book/155363/p/-1/t/1/fs/0/start/0/end/0/c"),"פירוש רבינו חננאל - סוטה")</f>
        <v>פירוש רבינו חננאל - סוטה</v>
      </c>
      <c r="H365" t="str">
        <f>_xlfn.CONCAT("https://tablet.otzar.org/",CHAR(35),"/book/155363/p/-1/t/1/fs/0/start/0/end/0/c")</f>
        <v>https://tablet.otzar.org/#/book/155363/p/-1/t/1/fs/0/start/0/end/0/c</v>
      </c>
    </row>
    <row r="366" spans="1:8" x14ac:dyDescent="0.25">
      <c r="A366">
        <v>174437</v>
      </c>
      <c r="B366" t="s">
        <v>788</v>
      </c>
      <c r="C366" t="s">
        <v>776</v>
      </c>
      <c r="D366" t="s">
        <v>10</v>
      </c>
      <c r="E366" t="s">
        <v>64</v>
      </c>
      <c r="F366" t="s">
        <v>152</v>
      </c>
      <c r="G366" t="str">
        <f>HYPERLINK(_xlfn.CONCAT("https://tablet.otzar.org/",CHAR(35),"/exKotar/174437"),"פירוש רבינו חננאל - 2 כרכים")</f>
        <v>פירוש רבינו חננאל - 2 כרכים</v>
      </c>
      <c r="H366" t="str">
        <f>_xlfn.CONCAT("https://tablet.otzar.org/",CHAR(35),"/exKotar/174437")</f>
        <v>https://tablet.otzar.org/#/exKotar/174437</v>
      </c>
    </row>
    <row r="367" spans="1:8" x14ac:dyDescent="0.25">
      <c r="A367">
        <v>156215</v>
      </c>
      <c r="B367" t="s">
        <v>789</v>
      </c>
      <c r="C367" t="s">
        <v>790</v>
      </c>
      <c r="D367" t="s">
        <v>10</v>
      </c>
      <c r="E367" t="s">
        <v>18</v>
      </c>
      <c r="F367" t="s">
        <v>19</v>
      </c>
      <c r="G367" t="str">
        <f>HYPERLINK(_xlfn.CONCAT("https://tablet.otzar.org/",CHAR(35),"/exKotar/156215"),"פירוש רבינו מיוחס - 2 כרכים")</f>
        <v>פירוש רבינו מיוחס - 2 כרכים</v>
      </c>
      <c r="H367" t="str">
        <f>_xlfn.CONCAT("https://tablet.otzar.org/",CHAR(35),"/exKotar/156215")</f>
        <v>https://tablet.otzar.org/#/exKotar/156215</v>
      </c>
    </row>
    <row r="368" spans="1:8" x14ac:dyDescent="0.25">
      <c r="A368">
        <v>156276</v>
      </c>
      <c r="B368" t="s">
        <v>791</v>
      </c>
      <c r="C368" t="s">
        <v>792</v>
      </c>
      <c r="D368" t="s">
        <v>10</v>
      </c>
      <c r="E368" t="s">
        <v>75</v>
      </c>
      <c r="F368" t="s">
        <v>152</v>
      </c>
      <c r="G368" t="str">
        <f>HYPERLINK(_xlfn.CONCAT("https://tablet.otzar.org/",CHAR(35),"/book/156276/p/-1/t/1/fs/0/start/0/end/0/c"),"פירוש רשב""""ם הקצר לפרק חזקת הבתים")</f>
        <v>פירוש רשב""ם הקצר לפרק חזקת הבתים</v>
      </c>
      <c r="H368" t="str">
        <f>_xlfn.CONCAT("https://tablet.otzar.org/",CHAR(35),"/book/156276/p/-1/t/1/fs/0/start/0/end/0/c")</f>
        <v>https://tablet.otzar.org/#/book/156276/p/-1/t/1/fs/0/start/0/end/0/c</v>
      </c>
    </row>
    <row r="369" spans="1:8" x14ac:dyDescent="0.25">
      <c r="A369">
        <v>155120</v>
      </c>
      <c r="B369" t="s">
        <v>793</v>
      </c>
      <c r="C369" t="s">
        <v>794</v>
      </c>
      <c r="D369" t="s">
        <v>10</v>
      </c>
      <c r="E369" t="s">
        <v>251</v>
      </c>
      <c r="F369" t="s">
        <v>190</v>
      </c>
      <c r="G369" t="str">
        <f>HYPERLINK(_xlfn.CONCAT("https://tablet.otzar.org/",CHAR(35),"/exKotar/155120"),"פירושי גאוני ליטא - 2 כרכים")</f>
        <v>פירושי גאוני ליטא - 2 כרכים</v>
      </c>
      <c r="H369" t="str">
        <f>_xlfn.CONCAT("https://tablet.otzar.org/",CHAR(35),"/exKotar/155120")</f>
        <v>https://tablet.otzar.org/#/exKotar/155120</v>
      </c>
    </row>
    <row r="370" spans="1:8" x14ac:dyDescent="0.25">
      <c r="A370">
        <v>155560</v>
      </c>
      <c r="B370" t="s">
        <v>795</v>
      </c>
      <c r="C370" t="s">
        <v>760</v>
      </c>
      <c r="D370" t="s">
        <v>10</v>
      </c>
      <c r="E370" t="s">
        <v>628</v>
      </c>
      <c r="F370" t="s">
        <v>19</v>
      </c>
      <c r="G370" t="str">
        <f>HYPERLINK(_xlfn.CONCAT("https://tablet.otzar.org/",CHAR(35),"/exKotar/155560"),"פירושי הרב דוד צבי הופמן - 3 כרכים")</f>
        <v>פירושי הרב דוד צבי הופמן - 3 כרכים</v>
      </c>
      <c r="H370" t="str">
        <f>_xlfn.CONCAT("https://tablet.otzar.org/",CHAR(35),"/exKotar/155560")</f>
        <v>https://tablet.otzar.org/#/exKotar/155560</v>
      </c>
    </row>
    <row r="371" spans="1:8" x14ac:dyDescent="0.25">
      <c r="A371">
        <v>157374</v>
      </c>
      <c r="B371" t="s">
        <v>796</v>
      </c>
      <c r="C371" t="s">
        <v>797</v>
      </c>
      <c r="D371" t="s">
        <v>10</v>
      </c>
      <c r="E371" t="s">
        <v>71</v>
      </c>
      <c r="F371" t="s">
        <v>292</v>
      </c>
      <c r="G371" t="str">
        <f>HYPERLINK(_xlfn.CONCAT("https://tablet.otzar.org/",CHAR(35),"/exKotar/157374"),"פירושי הרמב""""ן לירושלמי - 6 כרכים")</f>
        <v>פירושי הרמב""ן לירושלמי - 6 כרכים</v>
      </c>
      <c r="H371" t="str">
        <f>_xlfn.CONCAT("https://tablet.otzar.org/",CHAR(35),"/exKotar/157374")</f>
        <v>https://tablet.otzar.org/#/exKotar/157374</v>
      </c>
    </row>
    <row r="372" spans="1:8" x14ac:dyDescent="0.25">
      <c r="A372">
        <v>14464</v>
      </c>
      <c r="B372" t="s">
        <v>798</v>
      </c>
      <c r="C372" t="s">
        <v>799</v>
      </c>
      <c r="D372" t="s">
        <v>10</v>
      </c>
      <c r="E372" t="s">
        <v>504</v>
      </c>
      <c r="F372" t="s">
        <v>19</v>
      </c>
      <c r="G372" t="str">
        <f>HYPERLINK(_xlfn.CONCAT("https://tablet.otzar.org/",CHAR(35),"/book/14464/p/-1/t/1/fs/0/start/0/end/0/c"),"פירושי הרמב""""ן על נביאים וכתובים")</f>
        <v>פירושי הרמב""ן על נביאים וכתובים</v>
      </c>
      <c r="H372" t="str">
        <f>_xlfn.CONCAT("https://tablet.otzar.org/",CHAR(35),"/book/14464/p/-1/t/1/fs/0/start/0/end/0/c")</f>
        <v>https://tablet.otzar.org/#/book/14464/p/-1/t/1/fs/0/start/0/end/0/c</v>
      </c>
    </row>
    <row r="373" spans="1:8" x14ac:dyDescent="0.25">
      <c r="A373">
        <v>601547</v>
      </c>
      <c r="B373" t="s">
        <v>800</v>
      </c>
      <c r="C373" t="s">
        <v>801</v>
      </c>
      <c r="D373" t="s">
        <v>10</v>
      </c>
      <c r="E373" t="s">
        <v>127</v>
      </c>
      <c r="F373" t="s">
        <v>152</v>
      </c>
      <c r="G373" t="str">
        <f>HYPERLINK(_xlfn.CONCAT("https://tablet.otzar.org/",CHAR(35),"/book/601547/p/-1/t/1/fs/0/start/0/end/0/c"),"פירושי הרנב""""י להלכות נדרים של הרמב""""ן")</f>
        <v>פירושי הרנב""י להלכות נדרים של הרמב""ן</v>
      </c>
      <c r="H373" t="str">
        <f>_xlfn.CONCAT("https://tablet.otzar.org/",CHAR(35),"/book/601547/p/-1/t/1/fs/0/start/0/end/0/c")</f>
        <v>https://tablet.otzar.org/#/book/601547/p/-1/t/1/fs/0/start/0/end/0/c</v>
      </c>
    </row>
    <row r="374" spans="1:8" x14ac:dyDescent="0.25">
      <c r="A374">
        <v>155529</v>
      </c>
      <c r="B374" t="s">
        <v>802</v>
      </c>
      <c r="C374" t="s">
        <v>803</v>
      </c>
      <c r="D374" t="s">
        <v>10</v>
      </c>
      <c r="E374" t="s">
        <v>660</v>
      </c>
      <c r="F374" t="s">
        <v>19</v>
      </c>
      <c r="G374" t="str">
        <f>HYPERLINK(_xlfn.CONCAT("https://tablet.otzar.org/",CHAR(35),"/exKotar/155529"),"פירושי התורה לרלב""""ג - 5 כרכים")</f>
        <v>פירושי התורה לרלב""ג - 5 כרכים</v>
      </c>
      <c r="H374" t="str">
        <f>_xlfn.CONCAT("https://tablet.otzar.org/",CHAR(35),"/exKotar/155529")</f>
        <v>https://tablet.otzar.org/#/exKotar/155529</v>
      </c>
    </row>
    <row r="375" spans="1:8" x14ac:dyDescent="0.25">
      <c r="A375">
        <v>155054</v>
      </c>
      <c r="B375" t="s">
        <v>804</v>
      </c>
      <c r="C375" t="s">
        <v>382</v>
      </c>
      <c r="D375" t="s">
        <v>10</v>
      </c>
      <c r="E375" t="s">
        <v>336</v>
      </c>
      <c r="F375" t="s">
        <v>19</v>
      </c>
      <c r="G375" t="str">
        <f>HYPERLINK(_xlfn.CONCAT("https://tablet.otzar.org/",CHAR(35),"/exKotar/155054"),"פירושי התורה לרמב""""ן &lt;מוה""""ק&gt;  - 2 כרכים")</f>
        <v>פירושי התורה לרמב""ן &lt;מוה""ק&gt;  - 2 כרכים</v>
      </c>
      <c r="H375" t="str">
        <f>_xlfn.CONCAT("https://tablet.otzar.org/",CHAR(35),"/exKotar/155054")</f>
        <v>https://tablet.otzar.org/#/exKotar/155054</v>
      </c>
    </row>
    <row r="376" spans="1:8" x14ac:dyDescent="0.25">
      <c r="A376">
        <v>155200</v>
      </c>
      <c r="B376" t="s">
        <v>805</v>
      </c>
      <c r="C376" t="s">
        <v>794</v>
      </c>
      <c r="D376" t="s">
        <v>10</v>
      </c>
      <c r="E376" t="s">
        <v>251</v>
      </c>
      <c r="F376" t="s">
        <v>190</v>
      </c>
      <c r="G376" t="str">
        <f>HYPERLINK(_xlfn.CONCAT("https://tablet.otzar.org/",CHAR(35),"/book/155200/p/-1/t/1/fs/0/start/0/end/0/c"),"פירושי וליקוטי הגר""""א על הגדה של פסח")</f>
        <v>פירושי וליקוטי הגר""א על הגדה של פסח</v>
      </c>
      <c r="H376" t="str">
        <f>_xlfn.CONCAT("https://tablet.otzar.org/",CHAR(35),"/book/155200/p/-1/t/1/fs/0/start/0/end/0/c")</f>
        <v>https://tablet.otzar.org/#/book/155200/p/-1/t/1/fs/0/start/0/end/0/c</v>
      </c>
    </row>
    <row r="377" spans="1:8" x14ac:dyDescent="0.25">
      <c r="A377">
        <v>155126</v>
      </c>
      <c r="B377" t="s">
        <v>806</v>
      </c>
      <c r="C377" t="s">
        <v>807</v>
      </c>
      <c r="D377" t="s">
        <v>10</v>
      </c>
      <c r="E377" t="s">
        <v>216</v>
      </c>
      <c r="F377" t="s">
        <v>19</v>
      </c>
      <c r="G377" t="str">
        <f>HYPERLINK(_xlfn.CONCAT("https://tablet.otzar.org/",CHAR(35),"/book/155126/p/-1/t/1/fs/0/start/0/end/0/c"),"פירושי רב סעדיה גאון לספר שמות")</f>
        <v>פירושי רב סעדיה גאון לספר שמות</v>
      </c>
      <c r="H377" t="str">
        <f>_xlfn.CONCAT("https://tablet.otzar.org/",CHAR(35),"/book/155126/p/-1/t/1/fs/0/start/0/end/0/c")</f>
        <v>https://tablet.otzar.org/#/book/155126/p/-1/t/1/fs/0/start/0/end/0/c</v>
      </c>
    </row>
    <row r="378" spans="1:8" x14ac:dyDescent="0.25">
      <c r="A378">
        <v>156213</v>
      </c>
      <c r="B378" t="s">
        <v>808</v>
      </c>
      <c r="C378" t="s">
        <v>809</v>
      </c>
      <c r="D378" t="s">
        <v>10</v>
      </c>
      <c r="E378" t="s">
        <v>555</v>
      </c>
      <c r="F378" t="s">
        <v>19</v>
      </c>
      <c r="G378" t="str">
        <f>HYPERLINK(_xlfn.CONCAT("https://tablet.otzar.org/",CHAR(35),"/book/156213/p/-1/t/1/fs/0/start/0/end/0/c"),"פירושי רבי דוד קמחי (רד""""ק) על התורה")</f>
        <v>פירושי רבי דוד קמחי (רד""ק) על התורה</v>
      </c>
      <c r="H378" t="str">
        <f>_xlfn.CONCAT("https://tablet.otzar.org/",CHAR(35),"/book/156213/p/-1/t/1/fs/0/start/0/end/0/c")</f>
        <v>https://tablet.otzar.org/#/book/156213/p/-1/t/1/fs/0/start/0/end/0/c</v>
      </c>
    </row>
    <row r="379" spans="1:8" x14ac:dyDescent="0.25">
      <c r="A379">
        <v>155128</v>
      </c>
      <c r="B379" t="s">
        <v>810</v>
      </c>
      <c r="C379" t="s">
        <v>811</v>
      </c>
      <c r="D379" t="s">
        <v>10</v>
      </c>
      <c r="E379" t="s">
        <v>507</v>
      </c>
      <c r="F379" t="s">
        <v>19</v>
      </c>
      <c r="G379" t="str">
        <f>HYPERLINK(_xlfn.CONCAT("https://tablet.otzar.org/",CHAR(35),"/book/155128/p/-1/t/1/fs/0/start/0/end/0/c"),"פירושי רבי יוסף בכור שור על התורה")</f>
        <v>פירושי רבי יוסף בכור שור על התורה</v>
      </c>
      <c r="H379" t="str">
        <f>_xlfn.CONCAT("https://tablet.otzar.org/",CHAR(35),"/book/155128/p/-1/t/1/fs/0/start/0/end/0/c")</f>
        <v>https://tablet.otzar.org/#/book/155128/p/-1/t/1/fs/0/start/0/end/0/c</v>
      </c>
    </row>
    <row r="380" spans="1:8" x14ac:dyDescent="0.25">
      <c r="A380">
        <v>156294</v>
      </c>
      <c r="B380" t="s">
        <v>812</v>
      </c>
      <c r="C380" t="s">
        <v>785</v>
      </c>
      <c r="D380" t="s">
        <v>10</v>
      </c>
      <c r="E380" t="s">
        <v>279</v>
      </c>
      <c r="F380" t="s">
        <v>19</v>
      </c>
      <c r="G380" t="str">
        <f>HYPERLINK(_xlfn.CONCAT("https://tablet.otzar.org/",CHAR(35),"/book/156294/p/-1/t/1/fs/0/start/0/end/0/c"),"פירושי רבי יוסף קרא לנביאים ראשונים")</f>
        <v>פירושי רבי יוסף קרא לנביאים ראשונים</v>
      </c>
      <c r="H380" t="str">
        <f>_xlfn.CONCAT("https://tablet.otzar.org/",CHAR(35),"/book/156294/p/-1/t/1/fs/0/start/0/end/0/c")</f>
        <v>https://tablet.otzar.org/#/book/156294/p/-1/t/1/fs/0/start/0/end/0/c</v>
      </c>
    </row>
    <row r="381" spans="1:8" x14ac:dyDescent="0.25">
      <c r="A381">
        <v>156236</v>
      </c>
      <c r="B381" t="s">
        <v>813</v>
      </c>
      <c r="C381" t="s">
        <v>814</v>
      </c>
      <c r="D381" t="s">
        <v>10</v>
      </c>
      <c r="E381" t="s">
        <v>458</v>
      </c>
      <c r="F381" t="s">
        <v>815</v>
      </c>
      <c r="G381" t="str">
        <f>HYPERLINK(_xlfn.CONCAT("https://tablet.otzar.org/",CHAR(35),"/book/156236/p/-1/t/1/fs/0/start/0/end/0/c"),"פירושי רבינו אליהו מלונדריש ופסקיו")</f>
        <v>פירושי רבינו אליהו מלונדריש ופסקיו</v>
      </c>
      <c r="H381" t="str">
        <f>_xlfn.CONCAT("https://tablet.otzar.org/",CHAR(35),"/book/156236/p/-1/t/1/fs/0/start/0/end/0/c")</f>
        <v>https://tablet.otzar.org/#/book/156236/p/-1/t/1/fs/0/start/0/end/0/c</v>
      </c>
    </row>
    <row r="382" spans="1:8" x14ac:dyDescent="0.25">
      <c r="A382">
        <v>14413</v>
      </c>
      <c r="B382" t="s">
        <v>816</v>
      </c>
      <c r="C382" t="s">
        <v>776</v>
      </c>
      <c r="D382" t="s">
        <v>10</v>
      </c>
      <c r="E382" t="s">
        <v>30</v>
      </c>
      <c r="F382" t="s">
        <v>19</v>
      </c>
      <c r="G382" t="str">
        <f>HYPERLINK(_xlfn.CONCAT("https://tablet.otzar.org/",CHAR(35),"/book/14413/p/-1/t/1/fs/0/start/0/end/0/c"),"פירושי רבינו חננאל על התורה")</f>
        <v>פירושי רבינו חננאל על התורה</v>
      </c>
      <c r="H382" t="str">
        <f>_xlfn.CONCAT("https://tablet.otzar.org/",CHAR(35),"/book/14413/p/-1/t/1/fs/0/start/0/end/0/c")</f>
        <v>https://tablet.otzar.org/#/book/14413/p/-1/t/1/fs/0/start/0/end/0/c</v>
      </c>
    </row>
    <row r="383" spans="1:8" x14ac:dyDescent="0.25">
      <c r="A383">
        <v>155203</v>
      </c>
      <c r="B383" t="s">
        <v>817</v>
      </c>
      <c r="C383" t="s">
        <v>574</v>
      </c>
      <c r="D383" t="s">
        <v>10</v>
      </c>
      <c r="E383" t="s">
        <v>50</v>
      </c>
      <c r="F383" t="s">
        <v>19</v>
      </c>
      <c r="G383" t="str">
        <f>HYPERLINK(_xlfn.CONCAT("https://tablet.otzar.org/",CHAR(35),"/book/155203/p/-1/t/1/fs/0/start/0/end/0/c"),"פירושי רבינו סעדיה גאון על התורה")</f>
        <v>פירושי רבינו סעדיה גאון על התורה</v>
      </c>
      <c r="H383" t="str">
        <f>_xlfn.CONCAT("https://tablet.otzar.org/",CHAR(35),"/book/155203/p/-1/t/1/fs/0/start/0/end/0/c")</f>
        <v>https://tablet.otzar.org/#/book/155203/p/-1/t/1/fs/0/start/0/end/0/c</v>
      </c>
    </row>
    <row r="384" spans="1:8" x14ac:dyDescent="0.25">
      <c r="A384">
        <v>155539</v>
      </c>
      <c r="B384" t="s">
        <v>818</v>
      </c>
      <c r="C384" t="s">
        <v>803</v>
      </c>
      <c r="D384" t="s">
        <v>10</v>
      </c>
      <c r="E384" t="s">
        <v>71</v>
      </c>
      <c r="F384" t="s">
        <v>19</v>
      </c>
      <c r="G384" t="str">
        <f>HYPERLINK(_xlfn.CONCAT("https://tablet.otzar.org/",CHAR(35),"/exKotar/155539"),"פירושי רלב""""ג - 4 כרכים")</f>
        <v>פירושי רלב""ג - 4 כרכים</v>
      </c>
      <c r="H384" t="str">
        <f>_xlfn.CONCAT("https://tablet.otzar.org/",CHAR(35),"/exKotar/155539")</f>
        <v>https://tablet.otzar.org/#/exKotar/155539</v>
      </c>
    </row>
    <row r="385" spans="1:8" x14ac:dyDescent="0.25">
      <c r="A385">
        <v>622821</v>
      </c>
      <c r="B385" t="s">
        <v>819</v>
      </c>
      <c r="C385" t="s">
        <v>820</v>
      </c>
      <c r="D385" t="s">
        <v>10</v>
      </c>
      <c r="E385" t="s">
        <v>38</v>
      </c>
      <c r="F385" t="s">
        <v>152</v>
      </c>
      <c r="G385" t="str">
        <f>HYPERLINK(_xlfn.CONCAT("https://tablet.otzar.org/",CHAR(35),"/book/622821/p/-1/t/1/fs/0/start/0/end/0/c"),"פירושי רש""""י - מסכת נדרים")</f>
        <v>פירושי רש""י - מסכת נדרים</v>
      </c>
      <c r="H385" t="str">
        <f>_xlfn.CONCAT("https://tablet.otzar.org/",CHAR(35),"/book/622821/p/-1/t/1/fs/0/start/0/end/0/c")</f>
        <v>https://tablet.otzar.org/#/book/622821/p/-1/t/1/fs/0/start/0/end/0/c</v>
      </c>
    </row>
    <row r="386" spans="1:8" x14ac:dyDescent="0.25">
      <c r="A386">
        <v>155543</v>
      </c>
      <c r="B386" t="s">
        <v>821</v>
      </c>
      <c r="C386" t="s">
        <v>822</v>
      </c>
      <c r="D386" t="s">
        <v>10</v>
      </c>
      <c r="E386" t="s">
        <v>555</v>
      </c>
      <c r="F386" t="s">
        <v>19</v>
      </c>
      <c r="G386" t="str">
        <f>HYPERLINK(_xlfn.CONCAT("https://tablet.otzar.org/",CHAR(35),"/book/155543/p/-1/t/1/fs/0/start/0/end/0/c"),"פירושי רש""""י על התורה")</f>
        <v>פירושי רש""י על התורה</v>
      </c>
      <c r="H386" t="str">
        <f>_xlfn.CONCAT("https://tablet.otzar.org/",CHAR(35),"/book/155543/p/-1/t/1/fs/0/start/0/end/0/c")</f>
        <v>https://tablet.otzar.org/#/book/155543/p/-1/t/1/fs/0/start/0/end/0/c</v>
      </c>
    </row>
    <row r="387" spans="1:8" x14ac:dyDescent="0.25">
      <c r="A387">
        <v>677776</v>
      </c>
      <c r="B387" t="s">
        <v>823</v>
      </c>
      <c r="C387" t="s">
        <v>824</v>
      </c>
      <c r="D387" t="s">
        <v>10</v>
      </c>
      <c r="E387" t="s">
        <v>148</v>
      </c>
      <c r="F387" t="s">
        <v>350</v>
      </c>
      <c r="G387" t="str">
        <f>HYPERLINK(_xlfn.CONCAT("https://tablet.otzar.org/",CHAR(35),"/book/677776/p/-1/t/1/fs/0/start/0/end/0/c"),"פירושי תלמידי הרשב""""א על קבלת הרמב""""ן")</f>
        <v>פירושי תלמידי הרשב""א על קבלת הרמב""ן</v>
      </c>
      <c r="H387" t="str">
        <f>_xlfn.CONCAT("https://tablet.otzar.org/",CHAR(35),"/book/677776/p/-1/t/1/fs/0/start/0/end/0/c")</f>
        <v>https://tablet.otzar.org/#/book/677776/p/-1/t/1/fs/0/start/0/end/0/c</v>
      </c>
    </row>
    <row r="388" spans="1:8" x14ac:dyDescent="0.25">
      <c r="A388">
        <v>155538</v>
      </c>
      <c r="B388" t="s">
        <v>825</v>
      </c>
      <c r="C388" t="s">
        <v>329</v>
      </c>
      <c r="D388" t="s">
        <v>10</v>
      </c>
      <c r="E388" t="s">
        <v>103</v>
      </c>
      <c r="F388" t="s">
        <v>12</v>
      </c>
      <c r="G388" t="str">
        <f>HYPERLINK(_xlfn.CONCAT("https://tablet.otzar.org/",CHAR(35),"/book/155538/p/-1/t/1/fs/0/start/0/end/0/c"),"פנינים ומרגליות")</f>
        <v>פנינים ומרגליות</v>
      </c>
      <c r="H388" t="str">
        <f>_xlfn.CONCAT("https://tablet.otzar.org/",CHAR(35),"/book/155538/p/-1/t/1/fs/0/start/0/end/0/c")</f>
        <v>https://tablet.otzar.org/#/book/155538/p/-1/t/1/fs/0/start/0/end/0/c</v>
      </c>
    </row>
    <row r="389" spans="1:8" x14ac:dyDescent="0.25">
      <c r="A389">
        <v>156210</v>
      </c>
      <c r="B389" t="s">
        <v>826</v>
      </c>
      <c r="C389" t="s">
        <v>827</v>
      </c>
      <c r="D389" t="s">
        <v>10</v>
      </c>
      <c r="E389" t="s">
        <v>168</v>
      </c>
      <c r="F389" t="s">
        <v>828</v>
      </c>
      <c r="G389" t="str">
        <f>HYPERLINK(_xlfn.CONCAT("https://tablet.otzar.org/",CHAR(35),"/book/156210/p/-1/t/1/fs/0/start/0/end/0/c"),"פנקס התקנות והרישומים")</f>
        <v>פנקס התקנות והרישומים</v>
      </c>
      <c r="H389" t="str">
        <f>_xlfn.CONCAT("https://tablet.otzar.org/",CHAR(35),"/book/156210/p/-1/t/1/fs/0/start/0/end/0/c")</f>
        <v>https://tablet.otzar.org/#/book/156210/p/-1/t/1/fs/0/start/0/end/0/c</v>
      </c>
    </row>
    <row r="390" spans="1:8" x14ac:dyDescent="0.25">
      <c r="A390">
        <v>681336</v>
      </c>
      <c r="B390" t="s">
        <v>829</v>
      </c>
      <c r="C390" t="s">
        <v>53</v>
      </c>
      <c r="D390" t="s">
        <v>10</v>
      </c>
      <c r="E390" t="s">
        <v>148</v>
      </c>
      <c r="F390" t="s">
        <v>132</v>
      </c>
      <c r="G390" t="str">
        <f>HYPERLINK(_xlfn.CONCAT("https://tablet.otzar.org/",CHAR(35),"/book/681336/p/-1/t/1/fs/0/start/0/end/0/c"),"פסקי הגר""""א &lt;מכון פסקי הגר""""א&gt; - שבת")</f>
        <v>פסקי הגר""א &lt;מכון פסקי הגר""א&gt; - שבת</v>
      </c>
      <c r="H390" t="str">
        <f>_xlfn.CONCAT("https://tablet.otzar.org/",CHAR(35),"/book/681336/p/-1/t/1/fs/0/start/0/end/0/c")</f>
        <v>https://tablet.otzar.org/#/book/681336/p/-1/t/1/fs/0/start/0/end/0/c</v>
      </c>
    </row>
    <row r="391" spans="1:8" x14ac:dyDescent="0.25">
      <c r="A391">
        <v>7395</v>
      </c>
      <c r="B391" t="s">
        <v>830</v>
      </c>
      <c r="C391" t="s">
        <v>831</v>
      </c>
      <c r="D391" t="s">
        <v>10</v>
      </c>
      <c r="E391" t="s">
        <v>162</v>
      </c>
      <c r="F391" t="s">
        <v>832</v>
      </c>
      <c r="G391" t="str">
        <f>HYPERLINK(_xlfn.CONCAT("https://tablet.otzar.org/",CHAR(35),"/book/7395/p/-1/t/1/fs/0/start/0/end/0/c"),"פסקי הלכות &lt;יד דוד&gt; - ג")</f>
        <v>פסקי הלכות &lt;יד דוד&gt; - ג</v>
      </c>
      <c r="H391" t="str">
        <f>_xlfn.CONCAT("https://tablet.otzar.org/",CHAR(35),"/book/7395/p/-1/t/1/fs/0/start/0/end/0/c")</f>
        <v>https://tablet.otzar.org/#/book/7395/p/-1/t/1/fs/0/start/0/end/0/c</v>
      </c>
    </row>
    <row r="392" spans="1:8" x14ac:dyDescent="0.25">
      <c r="A392">
        <v>154865</v>
      </c>
      <c r="B392" t="s">
        <v>833</v>
      </c>
      <c r="C392" t="s">
        <v>384</v>
      </c>
      <c r="D392" t="s">
        <v>10</v>
      </c>
      <c r="E392" t="s">
        <v>71</v>
      </c>
      <c r="F392" t="s">
        <v>72</v>
      </c>
      <c r="G392" t="str">
        <f>HYPERLINK(_xlfn.CONCAT("https://tablet.otzar.org/",CHAR(35),"/book/154865/p/-1/t/1/fs/0/start/0/end/0/c"),"פסקי חלה לרשב""""א עם ביאור קדושת לחם")</f>
        <v>פסקי חלה לרשב""א עם ביאור קדושת לחם</v>
      </c>
      <c r="H392" t="str">
        <f>_xlfn.CONCAT("https://tablet.otzar.org/",CHAR(35),"/book/154865/p/-1/t/1/fs/0/start/0/end/0/c")</f>
        <v>https://tablet.otzar.org/#/book/154865/p/-1/t/1/fs/0/start/0/end/0/c</v>
      </c>
    </row>
    <row r="393" spans="1:8" x14ac:dyDescent="0.25">
      <c r="A393">
        <v>156330</v>
      </c>
      <c r="B393" t="s">
        <v>834</v>
      </c>
      <c r="C393" t="s">
        <v>814</v>
      </c>
      <c r="D393" t="s">
        <v>10</v>
      </c>
      <c r="E393" t="s">
        <v>835</v>
      </c>
      <c r="F393" t="s">
        <v>836</v>
      </c>
      <c r="G393" t="str">
        <f>HYPERLINK(_xlfn.CONCAT("https://tablet.otzar.org/",CHAR(35),"/book/156330/p/-1/t/1/fs/0/start/0/end/0/c"),"פסקי רבנו אליהו לסדר זרעים")</f>
        <v>פסקי רבנו אליהו לסדר זרעים</v>
      </c>
      <c r="H393" t="str">
        <f>_xlfn.CONCAT("https://tablet.otzar.org/",CHAR(35),"/book/156330/p/-1/t/1/fs/0/start/0/end/0/c")</f>
        <v>https://tablet.otzar.org/#/book/156330/p/-1/t/1/fs/0/start/0/end/0/c</v>
      </c>
    </row>
    <row r="394" spans="1:8" x14ac:dyDescent="0.25">
      <c r="A394">
        <v>155364</v>
      </c>
      <c r="B394" t="s">
        <v>837</v>
      </c>
      <c r="C394" t="s">
        <v>838</v>
      </c>
      <c r="D394" t="s">
        <v>10</v>
      </c>
      <c r="E394" t="s">
        <v>41</v>
      </c>
      <c r="F394" t="s">
        <v>152</v>
      </c>
      <c r="G394" t="str">
        <f>HYPERLINK(_xlfn.CONCAT("https://tablet.otzar.org/",CHAR(35),"/book/155364/p/-1/t/1/fs/0/start/0/end/0/c"),"פסקי תוספות על מסכת סוטה")</f>
        <v>פסקי תוספות על מסכת סוטה</v>
      </c>
      <c r="H394" t="str">
        <f>_xlfn.CONCAT("https://tablet.otzar.org/",CHAR(35),"/book/155364/p/-1/t/1/fs/0/start/0/end/0/c")</f>
        <v>https://tablet.otzar.org/#/book/155364/p/-1/t/1/fs/0/start/0/end/0/c</v>
      </c>
    </row>
    <row r="395" spans="1:8" x14ac:dyDescent="0.25">
      <c r="A395">
        <v>157344</v>
      </c>
      <c r="B395" t="s">
        <v>839</v>
      </c>
      <c r="C395" t="s">
        <v>840</v>
      </c>
      <c r="D395" t="s">
        <v>10</v>
      </c>
      <c r="E395" t="s">
        <v>274</v>
      </c>
      <c r="F395" t="s">
        <v>51</v>
      </c>
      <c r="G395" t="str">
        <f>HYPERLINK(_xlfn.CONCAT("https://tablet.otzar.org/",CHAR(35),"/exKotar/157344"),"פסקים וכתבים - 9 כרכים")</f>
        <v>פסקים וכתבים - 9 כרכים</v>
      </c>
      <c r="H395" t="str">
        <f>_xlfn.CONCAT("https://tablet.otzar.org/",CHAR(35),"/exKotar/157344")</f>
        <v>https://tablet.otzar.org/#/exKotar/157344</v>
      </c>
    </row>
    <row r="396" spans="1:8" x14ac:dyDescent="0.25">
      <c r="A396">
        <v>156196</v>
      </c>
      <c r="B396" t="s">
        <v>841</v>
      </c>
      <c r="C396" t="s">
        <v>842</v>
      </c>
      <c r="D396" t="s">
        <v>10</v>
      </c>
      <c r="E396" t="s">
        <v>843</v>
      </c>
      <c r="F396" t="s">
        <v>12</v>
      </c>
      <c r="G396" t="str">
        <f>HYPERLINK(_xlfn.CONCAT("https://tablet.otzar.org/",CHAR(35),"/book/156196/p/-1/t/1/fs/0/start/0/end/0/c"),"פרקים בתולדות היהודים בפולין")</f>
        <v>פרקים בתולדות היהודים בפולין</v>
      </c>
      <c r="H396" t="str">
        <f>_xlfn.CONCAT("https://tablet.otzar.org/",CHAR(35),"/book/156196/p/-1/t/1/fs/0/start/0/end/0/c")</f>
        <v>https://tablet.otzar.org/#/book/156196/p/-1/t/1/fs/0/start/0/end/0/c</v>
      </c>
    </row>
    <row r="397" spans="1:8" x14ac:dyDescent="0.25">
      <c r="A397">
        <v>155280</v>
      </c>
      <c r="B397" t="s">
        <v>844</v>
      </c>
      <c r="C397" t="s">
        <v>161</v>
      </c>
      <c r="D397" t="s">
        <v>10</v>
      </c>
      <c r="E397" t="s">
        <v>41</v>
      </c>
      <c r="F397" t="s">
        <v>152</v>
      </c>
      <c r="G397" t="str">
        <f>HYPERLINK(_xlfn.CONCAT("https://tablet.otzar.org/",CHAR(35),"/book/155280/p/-1/t/1/fs/0/start/0/end/0/c"),"פרשת מרדכי")</f>
        <v>פרשת מרדכי</v>
      </c>
      <c r="H397" t="str">
        <f>_xlfn.CONCAT("https://tablet.otzar.org/",CHAR(35),"/book/155280/p/-1/t/1/fs/0/start/0/end/0/c")</f>
        <v>https://tablet.otzar.org/#/book/155280/p/-1/t/1/fs/0/start/0/end/0/c</v>
      </c>
    </row>
    <row r="398" spans="1:8" x14ac:dyDescent="0.25">
      <c r="A398">
        <v>194197</v>
      </c>
      <c r="B398" t="s">
        <v>845</v>
      </c>
      <c r="C398" t="s">
        <v>188</v>
      </c>
      <c r="D398" t="s">
        <v>10</v>
      </c>
      <c r="E398" t="s">
        <v>57</v>
      </c>
      <c r="F398" t="s">
        <v>19</v>
      </c>
      <c r="G398" t="str">
        <f>HYPERLINK(_xlfn.CONCAT("https://tablet.otzar.org/",CHAR(35),"/exKotar/194197"),"צוהר לבראשית - 2 כרכים")</f>
        <v>צוהר לבראשית - 2 כרכים</v>
      </c>
      <c r="H398" t="str">
        <f>_xlfn.CONCAT("https://tablet.otzar.org/",CHAR(35),"/exKotar/194197")</f>
        <v>https://tablet.otzar.org/#/exKotar/194197</v>
      </c>
    </row>
    <row r="399" spans="1:8" x14ac:dyDescent="0.25">
      <c r="A399">
        <v>181048</v>
      </c>
      <c r="B399" t="s">
        <v>846</v>
      </c>
      <c r="C399" t="s">
        <v>847</v>
      </c>
      <c r="D399" t="s">
        <v>10</v>
      </c>
      <c r="E399" t="s">
        <v>285</v>
      </c>
      <c r="F399" t="s">
        <v>51</v>
      </c>
      <c r="G399" t="str">
        <f>HYPERLINK(_xlfn.CONCAT("https://tablet.otzar.org/",CHAR(35),"/book/181048/p/-1/t/1/fs/0/start/0/end/0/c"),"ציון לנפש חיה - שו""""ת")</f>
        <v>ציון לנפש חיה - שו""ת</v>
      </c>
      <c r="H399" t="str">
        <f>_xlfn.CONCAT("https://tablet.otzar.org/",CHAR(35),"/book/181048/p/-1/t/1/fs/0/start/0/end/0/c")</f>
        <v>https://tablet.otzar.org/#/book/181048/p/-1/t/1/fs/0/start/0/end/0/c</v>
      </c>
    </row>
    <row r="400" spans="1:8" x14ac:dyDescent="0.25">
      <c r="A400">
        <v>155171</v>
      </c>
      <c r="B400" t="s">
        <v>848</v>
      </c>
      <c r="C400" t="s">
        <v>849</v>
      </c>
      <c r="D400" t="s">
        <v>10</v>
      </c>
      <c r="E400" t="s">
        <v>139</v>
      </c>
      <c r="F400" t="s">
        <v>27</v>
      </c>
      <c r="G400" t="str">
        <f>HYPERLINK(_xlfn.CONCAT("https://tablet.otzar.org/",CHAR(35),"/book/155171/p/-1/t/1/fs/0/start/0/end/0/c"),"ציוני דרך")</f>
        <v>ציוני דרך</v>
      </c>
      <c r="H400" t="str">
        <f>_xlfn.CONCAT("https://tablet.otzar.org/",CHAR(35),"/book/155171/p/-1/t/1/fs/0/start/0/end/0/c")</f>
        <v>https://tablet.otzar.org/#/book/155171/p/-1/t/1/fs/0/start/0/end/0/c</v>
      </c>
    </row>
    <row r="401" spans="1:8" x14ac:dyDescent="0.25">
      <c r="A401">
        <v>155353</v>
      </c>
      <c r="B401" t="s">
        <v>850</v>
      </c>
      <c r="C401" t="s">
        <v>851</v>
      </c>
      <c r="D401" t="s">
        <v>10</v>
      </c>
      <c r="E401" t="s">
        <v>628</v>
      </c>
      <c r="F401" t="s">
        <v>72</v>
      </c>
      <c r="G401" t="str">
        <f>HYPERLINK(_xlfn.CONCAT("https://tablet.otzar.org/",CHAR(35),"/exKotar/155353"),"צפנת פענח &lt;על הרמב""""ם&gt;  - 3 כרכים")</f>
        <v>צפנת פענח &lt;על הרמב""ם&gt;  - 3 כרכים</v>
      </c>
      <c r="H401" t="str">
        <f>_xlfn.CONCAT("https://tablet.otzar.org/",CHAR(35),"/exKotar/155353")</f>
        <v>https://tablet.otzar.org/#/exKotar/155353</v>
      </c>
    </row>
    <row r="402" spans="1:8" x14ac:dyDescent="0.25">
      <c r="A402">
        <v>15524</v>
      </c>
      <c r="B402" t="s">
        <v>852</v>
      </c>
      <c r="C402" t="s">
        <v>853</v>
      </c>
      <c r="D402" t="s">
        <v>10</v>
      </c>
      <c r="E402" t="s">
        <v>766</v>
      </c>
      <c r="F402" t="s">
        <v>854</v>
      </c>
      <c r="G402" t="str">
        <f>HYPERLINK(_xlfn.CONCAT("https://tablet.otzar.org/",CHAR(35),"/book/15524/p/-1/t/1/fs/0/start/0/end/0/c"),"קברים קדושים בבבל")</f>
        <v>קברים קדושים בבבל</v>
      </c>
      <c r="H402" t="str">
        <f>_xlfn.CONCAT("https://tablet.otzar.org/",CHAR(35),"/book/15524/p/-1/t/1/fs/0/start/0/end/0/c")</f>
        <v>https://tablet.otzar.org/#/book/15524/p/-1/t/1/fs/0/start/0/end/0/c</v>
      </c>
    </row>
    <row r="403" spans="1:8" x14ac:dyDescent="0.25">
      <c r="A403">
        <v>155158</v>
      </c>
      <c r="B403" t="s">
        <v>855</v>
      </c>
      <c r="C403" t="s">
        <v>856</v>
      </c>
      <c r="D403" t="s">
        <v>10</v>
      </c>
      <c r="E403" t="s">
        <v>251</v>
      </c>
      <c r="F403" t="s">
        <v>19</v>
      </c>
      <c r="G403" t="str">
        <f>HYPERLINK(_xlfn.CONCAT("https://tablet.otzar.org/",CHAR(35),"/exKotar/155158"),"קדושת פשוטו של מקרא - 2 כרכים")</f>
        <v>קדושת פשוטו של מקרא - 2 כרכים</v>
      </c>
      <c r="H403" t="str">
        <f>_xlfn.CONCAT("https://tablet.otzar.org/",CHAR(35),"/exKotar/155158")</f>
        <v>https://tablet.otzar.org/#/exKotar/155158</v>
      </c>
    </row>
    <row r="404" spans="1:8" x14ac:dyDescent="0.25">
      <c r="A404">
        <v>155585</v>
      </c>
      <c r="B404" t="s">
        <v>857</v>
      </c>
      <c r="C404" t="s">
        <v>333</v>
      </c>
      <c r="D404" t="s">
        <v>10</v>
      </c>
      <c r="E404" t="s">
        <v>507</v>
      </c>
      <c r="F404" t="s">
        <v>31</v>
      </c>
      <c r="G404" t="str">
        <f>HYPERLINK(_xlfn.CONCAT("https://tablet.otzar.org/",CHAR(35),"/book/155585/p/-1/t/1/fs/0/start/0/end/0/c"),"קובץ מאמרים ומחקרים בתורה ובמדעי היהדות")</f>
        <v>קובץ מאמרים ומחקרים בתורה ובמדעי היהדות</v>
      </c>
      <c r="H404" t="str">
        <f>_xlfn.CONCAT("https://tablet.otzar.org/",CHAR(35),"/book/155585/p/-1/t/1/fs/0/start/0/end/0/c")</f>
        <v>https://tablet.otzar.org/#/book/155585/p/-1/t/1/fs/0/start/0/end/0/c</v>
      </c>
    </row>
    <row r="405" spans="1:8" x14ac:dyDescent="0.25">
      <c r="A405">
        <v>157016</v>
      </c>
      <c r="B405" t="s">
        <v>858</v>
      </c>
      <c r="C405" t="s">
        <v>859</v>
      </c>
      <c r="D405" t="s">
        <v>10</v>
      </c>
      <c r="E405" t="s">
        <v>18</v>
      </c>
      <c r="F405" t="s">
        <v>860</v>
      </c>
      <c r="G405" t="str">
        <f>HYPERLINK(_xlfn.CONCAT("https://tablet.otzar.org/",CHAR(35),"/book/157016/p/-1/t/1/fs/0/start/0/end/0/c"),"קול דוד תניינא")</f>
        <v>קול דוד תניינא</v>
      </c>
      <c r="H405" t="str">
        <f>_xlfn.CONCAT("https://tablet.otzar.org/",CHAR(35),"/book/157016/p/-1/t/1/fs/0/start/0/end/0/c")</f>
        <v>https://tablet.otzar.org/#/book/157016/p/-1/t/1/fs/0/start/0/end/0/c</v>
      </c>
    </row>
    <row r="406" spans="1:8" x14ac:dyDescent="0.25">
      <c r="A406">
        <v>647367</v>
      </c>
      <c r="B406" t="s">
        <v>861</v>
      </c>
      <c r="C406" t="s">
        <v>862</v>
      </c>
      <c r="D406" t="s">
        <v>10</v>
      </c>
      <c r="E406" t="s">
        <v>44</v>
      </c>
      <c r="G406" t="str">
        <f>HYPERLINK(_xlfn.CONCAT("https://tablet.otzar.org/",CHAR(35),"/exKotar/647367"),"קול מבשר &lt;מוה""""ק&gt;  - 2 כרכים")</f>
        <v>קול מבשר &lt;מוה""ק&gt;  - 2 כרכים</v>
      </c>
      <c r="H406" t="str">
        <f>_xlfn.CONCAT("https://tablet.otzar.org/",CHAR(35),"/exKotar/647367")</f>
        <v>https://tablet.otzar.org/#/exKotar/647367</v>
      </c>
    </row>
    <row r="407" spans="1:8" x14ac:dyDescent="0.25">
      <c r="A407">
        <v>155182</v>
      </c>
      <c r="B407" t="s">
        <v>863</v>
      </c>
      <c r="C407" t="s">
        <v>864</v>
      </c>
      <c r="D407" t="s">
        <v>10</v>
      </c>
      <c r="E407" t="s">
        <v>139</v>
      </c>
      <c r="F407" t="s">
        <v>23</v>
      </c>
      <c r="G407" t="str">
        <f>HYPERLINK(_xlfn.CONCAT("https://tablet.otzar.org/",CHAR(35),"/book/155182/p/-1/t/1/fs/0/start/0/end/0/c"),"קונטריס על ענין שבת החתונה")</f>
        <v>קונטריס על ענין שבת החתונה</v>
      </c>
      <c r="H407" t="str">
        <f>_xlfn.CONCAT("https://tablet.otzar.org/",CHAR(35),"/book/155182/p/-1/t/1/fs/0/start/0/end/0/c")</f>
        <v>https://tablet.otzar.org/#/book/155182/p/-1/t/1/fs/0/start/0/end/0/c</v>
      </c>
    </row>
    <row r="408" spans="1:8" x14ac:dyDescent="0.25">
      <c r="A408">
        <v>606731</v>
      </c>
      <c r="B408" t="s">
        <v>865</v>
      </c>
      <c r="C408" t="s">
        <v>866</v>
      </c>
      <c r="D408" t="s">
        <v>10</v>
      </c>
      <c r="E408" t="s">
        <v>83</v>
      </c>
      <c r="F408" t="s">
        <v>72</v>
      </c>
      <c r="G408" t="str">
        <f>HYPERLINK(_xlfn.CONCAT("https://tablet.otzar.org/",CHAR(35),"/book/606731/p/-1/t/1/fs/0/start/0/end/0/c"),"קונטרס קידוש השם")</f>
        <v>קונטרס קידוש השם</v>
      </c>
      <c r="H408" t="str">
        <f>_xlfn.CONCAT("https://tablet.otzar.org/",CHAR(35),"/book/606731/p/-1/t/1/fs/0/start/0/end/0/c")</f>
        <v>https://tablet.otzar.org/#/book/606731/p/-1/t/1/fs/0/start/0/end/0/c</v>
      </c>
    </row>
    <row r="409" spans="1:8" x14ac:dyDescent="0.25">
      <c r="A409">
        <v>155374</v>
      </c>
      <c r="B409" t="s">
        <v>867</v>
      </c>
      <c r="C409" t="s">
        <v>868</v>
      </c>
      <c r="D409" t="s">
        <v>10</v>
      </c>
      <c r="E409" t="s">
        <v>766</v>
      </c>
      <c r="F409" t="s">
        <v>132</v>
      </c>
      <c r="G409" t="str">
        <f>HYPERLINK(_xlfn.CONCAT("https://tablet.otzar.org/",CHAR(35),"/book/155374/p/-1/t/1/fs/0/start/0/end/0/c"),"קיצור שלחן ערוך (מנוקד)")</f>
        <v>קיצור שלחן ערוך (מנוקד)</v>
      </c>
      <c r="H409" t="str">
        <f>_xlfn.CONCAT("https://tablet.otzar.org/",CHAR(35),"/book/155374/p/-1/t/1/fs/0/start/0/end/0/c")</f>
        <v>https://tablet.otzar.org/#/book/155374/p/-1/t/1/fs/0/start/0/end/0/c</v>
      </c>
    </row>
    <row r="410" spans="1:8" x14ac:dyDescent="0.25">
      <c r="A410">
        <v>601553</v>
      </c>
      <c r="B410" t="s">
        <v>869</v>
      </c>
      <c r="C410" t="s">
        <v>870</v>
      </c>
      <c r="D410" t="s">
        <v>10</v>
      </c>
      <c r="E410" t="s">
        <v>127</v>
      </c>
      <c r="F410" t="s">
        <v>19</v>
      </c>
      <c r="G410" t="str">
        <f>HYPERLINK(_xlfn.CONCAT("https://tablet.otzar.org/",CHAR(35),"/book/601553/p/-1/t/1/fs/0/start/0/end/0/c"),"קסת הסופר &lt;מוה""""ק&gt; - א")</f>
        <v>קסת הסופר &lt;מוה""ק&gt; - א</v>
      </c>
      <c r="H410" t="str">
        <f>_xlfn.CONCAT("https://tablet.otzar.org/",CHAR(35),"/book/601553/p/-1/t/1/fs/0/start/0/end/0/c")</f>
        <v>https://tablet.otzar.org/#/book/601553/p/-1/t/1/fs/0/start/0/end/0/c</v>
      </c>
    </row>
    <row r="411" spans="1:8" x14ac:dyDescent="0.25">
      <c r="A411">
        <v>157391</v>
      </c>
      <c r="B411" t="s">
        <v>871</v>
      </c>
      <c r="C411" t="s">
        <v>872</v>
      </c>
      <c r="D411" t="s">
        <v>10</v>
      </c>
      <c r="E411" t="s">
        <v>336</v>
      </c>
      <c r="F411" t="s">
        <v>12</v>
      </c>
      <c r="G411" t="str">
        <f>HYPERLINK(_xlfn.CONCAT("https://tablet.otzar.org/",CHAR(35),"/book/157391/p/-1/t/1/fs/0/start/0/end/0/c"),"קראקא - ספר קראקא")</f>
        <v>קראקא - ספר קראקא</v>
      </c>
      <c r="H411" t="str">
        <f>_xlfn.CONCAT("https://tablet.otzar.org/",CHAR(35),"/book/157391/p/-1/t/1/fs/0/start/0/end/0/c")</f>
        <v>https://tablet.otzar.org/#/book/157391/p/-1/t/1/fs/0/start/0/end/0/c</v>
      </c>
    </row>
    <row r="412" spans="1:8" x14ac:dyDescent="0.25">
      <c r="A412">
        <v>170018</v>
      </c>
      <c r="B412" t="s">
        <v>873</v>
      </c>
      <c r="C412" t="s">
        <v>874</v>
      </c>
      <c r="D412" t="s">
        <v>10</v>
      </c>
      <c r="E412" t="s">
        <v>238</v>
      </c>
      <c r="F412" t="s">
        <v>152</v>
      </c>
      <c r="G412" t="str">
        <f>HYPERLINK(_xlfn.CONCAT("https://tablet.otzar.org/",CHAR(35),"/book/170018/p/-1/t/1/fs/0/start/0/end/0/c"),"קרן ישראל - חולין")</f>
        <v>קרן ישראל - חולין</v>
      </c>
      <c r="H412" t="str">
        <f>_xlfn.CONCAT("https://tablet.otzar.org/",CHAR(35),"/book/170018/p/-1/t/1/fs/0/start/0/end/0/c")</f>
        <v>https://tablet.otzar.org/#/book/170018/p/-1/t/1/fs/0/start/0/end/0/c</v>
      </c>
    </row>
    <row r="413" spans="1:8" x14ac:dyDescent="0.25">
      <c r="A413">
        <v>155186</v>
      </c>
      <c r="B413" t="s">
        <v>875</v>
      </c>
      <c r="C413" t="s">
        <v>876</v>
      </c>
      <c r="D413" t="s">
        <v>10</v>
      </c>
      <c r="E413" t="s">
        <v>504</v>
      </c>
      <c r="F413" t="s">
        <v>12</v>
      </c>
      <c r="G413" t="str">
        <f>HYPERLINK(_xlfn.CONCAT("https://tablet.otzar.org/",CHAR(35),"/exKotar/155186"),"קשת גבורים - 5 כרכים")</f>
        <v>קשת גבורים - 5 כרכים</v>
      </c>
      <c r="H413" t="str">
        <f>_xlfn.CONCAT("https://tablet.otzar.org/",CHAR(35),"/exKotar/155186")</f>
        <v>https://tablet.otzar.org/#/exKotar/155186</v>
      </c>
    </row>
    <row r="414" spans="1:8" x14ac:dyDescent="0.25">
      <c r="A414">
        <v>156286</v>
      </c>
      <c r="B414" t="s">
        <v>877</v>
      </c>
      <c r="C414" t="s">
        <v>878</v>
      </c>
      <c r="D414" t="s">
        <v>10</v>
      </c>
      <c r="E414" t="s">
        <v>135</v>
      </c>
      <c r="F414" t="s">
        <v>12</v>
      </c>
      <c r="G414" t="str">
        <f>HYPERLINK(_xlfn.CONCAT("https://tablet.otzar.org/",CHAR(35),"/book/156286/p/-1/t/1/fs/0/start/0/end/0/c"),"ר' יצחק אייזיק מקאמרנא")</f>
        <v>ר' יצחק אייזיק מקאמרנא</v>
      </c>
      <c r="H414" t="str">
        <f>_xlfn.CONCAT("https://tablet.otzar.org/",CHAR(35),"/book/156286/p/-1/t/1/fs/0/start/0/end/0/c")</f>
        <v>https://tablet.otzar.org/#/book/156286/p/-1/t/1/fs/0/start/0/end/0/c</v>
      </c>
    </row>
    <row r="415" spans="1:8" x14ac:dyDescent="0.25">
      <c r="A415">
        <v>154997</v>
      </c>
      <c r="B415" t="s">
        <v>879</v>
      </c>
      <c r="C415" t="s">
        <v>74</v>
      </c>
      <c r="D415" t="s">
        <v>10</v>
      </c>
      <c r="E415" t="s">
        <v>75</v>
      </c>
      <c r="F415" t="s">
        <v>586</v>
      </c>
      <c r="G415" t="str">
        <f>HYPERLINK(_xlfn.CONCAT("https://tablet.otzar.org/",CHAR(35),"/book/154997/p/-1/t/1/fs/0/start/0/end/0/c"),"ראש מילין &lt;מוה""""ק&gt;")</f>
        <v>ראש מילין &lt;מוה""ק&gt;</v>
      </c>
      <c r="H415" t="str">
        <f>_xlfn.CONCAT("https://tablet.otzar.org/",CHAR(35),"/book/154997/p/-1/t/1/fs/0/start/0/end/0/c")</f>
        <v>https://tablet.otzar.org/#/book/154997/p/-1/t/1/fs/0/start/0/end/0/c</v>
      </c>
    </row>
    <row r="416" spans="1:8" x14ac:dyDescent="0.25">
      <c r="A416">
        <v>194447</v>
      </c>
      <c r="B416" t="s">
        <v>880</v>
      </c>
      <c r="C416" t="s">
        <v>881</v>
      </c>
      <c r="D416" t="s">
        <v>10</v>
      </c>
      <c r="E416" t="s">
        <v>57</v>
      </c>
      <c r="F416" t="s">
        <v>152</v>
      </c>
      <c r="G416" t="str">
        <f>HYPERLINK(_xlfn.CONCAT("https://tablet.otzar.org/",CHAR(35),"/book/194447/p/-1/t/1/fs/0/start/0/end/0/c"),"ראשית הנזר")</f>
        <v>ראשית הנזר</v>
      </c>
      <c r="H416" t="str">
        <f>_xlfn.CONCAT("https://tablet.otzar.org/",CHAR(35),"/book/194447/p/-1/t/1/fs/0/start/0/end/0/c")</f>
        <v>https://tablet.otzar.org/#/book/194447/p/-1/t/1/fs/0/start/0/end/0/c</v>
      </c>
    </row>
    <row r="417" spans="1:8" x14ac:dyDescent="0.25">
      <c r="A417">
        <v>156204</v>
      </c>
      <c r="B417" t="s">
        <v>882</v>
      </c>
      <c r="C417" t="s">
        <v>878</v>
      </c>
      <c r="D417" t="s">
        <v>10</v>
      </c>
      <c r="E417" t="s">
        <v>75</v>
      </c>
      <c r="F417" t="s">
        <v>12</v>
      </c>
      <c r="G417" t="str">
        <f>HYPERLINK(_xlfn.CONCAT("https://tablet.otzar.org/",CHAR(35),"/book/156204/p/-1/t/1/fs/0/start/0/end/0/c"),"רבי אברהם יהושע השיל הרב מאפטא")</f>
        <v>רבי אברהם יהושע השיל הרב מאפטא</v>
      </c>
      <c r="H417" t="str">
        <f>_xlfn.CONCAT("https://tablet.otzar.org/",CHAR(35),"/book/156204/p/-1/t/1/fs/0/start/0/end/0/c")</f>
        <v>https://tablet.otzar.org/#/book/156204/p/-1/t/1/fs/0/start/0/end/0/c</v>
      </c>
    </row>
    <row r="418" spans="1:8" x14ac:dyDescent="0.25">
      <c r="A418">
        <v>144544</v>
      </c>
      <c r="B418" t="s">
        <v>883</v>
      </c>
      <c r="C418" t="s">
        <v>884</v>
      </c>
      <c r="D418" t="s">
        <v>10</v>
      </c>
      <c r="E418" t="s">
        <v>116</v>
      </c>
      <c r="F418" t="s">
        <v>12</v>
      </c>
      <c r="G418" t="str">
        <f>HYPERLINK(_xlfn.CONCAT("https://tablet.otzar.org/",CHAR(35),"/book/144544/p/-1/t/1/fs/0/start/0/end/0/c"),"רבי ברוך הלוי אפשטיין")</f>
        <v>רבי ברוך הלוי אפשטיין</v>
      </c>
      <c r="H418" t="str">
        <f>_xlfn.CONCAT("https://tablet.otzar.org/",CHAR(35),"/book/144544/p/-1/t/1/fs/0/start/0/end/0/c")</f>
        <v>https://tablet.otzar.org/#/book/144544/p/-1/t/1/fs/0/start/0/end/0/c</v>
      </c>
    </row>
    <row r="419" spans="1:8" x14ac:dyDescent="0.25">
      <c r="A419">
        <v>156203</v>
      </c>
      <c r="B419" t="s">
        <v>885</v>
      </c>
      <c r="C419" t="s">
        <v>886</v>
      </c>
      <c r="D419" t="s">
        <v>10</v>
      </c>
      <c r="E419" t="s">
        <v>89</v>
      </c>
      <c r="F419" t="s">
        <v>12</v>
      </c>
      <c r="G419" t="str">
        <f>HYPERLINK(_xlfn.CONCAT("https://tablet.otzar.org/",CHAR(35),"/book/156203/p/-1/t/1/fs/0/start/0/end/0/c"),"רבי דוב בר מייזלש")</f>
        <v>רבי דוב בר מייזלש</v>
      </c>
      <c r="H419" t="str">
        <f>_xlfn.CONCAT("https://tablet.otzar.org/",CHAR(35),"/book/156203/p/-1/t/1/fs/0/start/0/end/0/c")</f>
        <v>https://tablet.otzar.org/#/book/156203/p/-1/t/1/fs/0/start/0/end/0/c</v>
      </c>
    </row>
    <row r="420" spans="1:8" x14ac:dyDescent="0.25">
      <c r="A420">
        <v>157372</v>
      </c>
      <c r="B420" t="s">
        <v>887</v>
      </c>
      <c r="C420" t="s">
        <v>888</v>
      </c>
      <c r="D420" t="s">
        <v>10</v>
      </c>
      <c r="E420" t="s">
        <v>235</v>
      </c>
      <c r="F420" t="s">
        <v>12</v>
      </c>
      <c r="G420" t="str">
        <f>HYPERLINK(_xlfn.CONCAT("https://tablet.otzar.org/",CHAR(35),"/book/157372/p/-1/t/1/fs/0/start/0/end/0/c"),"רבי זרחיה הלוי בעל המאור ובני חוגו")</f>
        <v>רבי זרחיה הלוי בעל המאור ובני חוגו</v>
      </c>
      <c r="H420" t="str">
        <f>_xlfn.CONCAT("https://tablet.otzar.org/",CHAR(35),"/book/157372/p/-1/t/1/fs/0/start/0/end/0/c")</f>
        <v>https://tablet.otzar.org/#/book/157372/p/-1/t/1/fs/0/start/0/end/0/c</v>
      </c>
    </row>
    <row r="421" spans="1:8" x14ac:dyDescent="0.25">
      <c r="A421">
        <v>157334</v>
      </c>
      <c r="B421" t="s">
        <v>889</v>
      </c>
      <c r="C421" t="s">
        <v>890</v>
      </c>
      <c r="D421" t="s">
        <v>10</v>
      </c>
      <c r="E421" t="s">
        <v>675</v>
      </c>
      <c r="F421" t="s">
        <v>12</v>
      </c>
      <c r="G421" t="str">
        <f>HYPERLINK(_xlfn.CONCAT("https://tablet.otzar.org/",CHAR(35),"/book/157334/p/-1/t/1/fs/0/start/0/end/0/c"),"רבי חיים אבן עטר")</f>
        <v>רבי חיים אבן עטר</v>
      </c>
      <c r="H421" t="str">
        <f>_xlfn.CONCAT("https://tablet.otzar.org/",CHAR(35),"/book/157334/p/-1/t/1/fs/0/start/0/end/0/c")</f>
        <v>https://tablet.otzar.org/#/book/157334/p/-1/t/1/fs/0/start/0/end/0/c</v>
      </c>
    </row>
    <row r="422" spans="1:8" x14ac:dyDescent="0.25">
      <c r="A422">
        <v>156231</v>
      </c>
      <c r="B422" t="s">
        <v>891</v>
      </c>
      <c r="C422" t="s">
        <v>892</v>
      </c>
      <c r="D422" t="s">
        <v>10</v>
      </c>
      <c r="E422" t="s">
        <v>411</v>
      </c>
      <c r="F422" t="s">
        <v>12</v>
      </c>
      <c r="G422" t="str">
        <f>HYPERLINK(_xlfn.CONCAT("https://tablet.otzar.org/",CHAR(35),"/book/156231/p/-1/t/1/fs/0/start/0/end/0/c"),"רבי חיים ב""""ר בצלאל מפרידברג")</f>
        <v>רבי חיים ב""ר בצלאל מפרידברג</v>
      </c>
      <c r="H422" t="str">
        <f>_xlfn.CONCAT("https://tablet.otzar.org/",CHAR(35),"/book/156231/p/-1/t/1/fs/0/start/0/end/0/c")</f>
        <v>https://tablet.otzar.org/#/book/156231/p/-1/t/1/fs/0/start/0/end/0/c</v>
      </c>
    </row>
    <row r="423" spans="1:8" x14ac:dyDescent="0.25">
      <c r="A423">
        <v>156281</v>
      </c>
      <c r="B423" t="s">
        <v>893</v>
      </c>
      <c r="C423" t="s">
        <v>894</v>
      </c>
      <c r="D423" t="s">
        <v>10</v>
      </c>
      <c r="E423" t="s">
        <v>660</v>
      </c>
      <c r="F423" t="s">
        <v>12</v>
      </c>
      <c r="G423" t="str">
        <f>HYPERLINK(_xlfn.CONCAT("https://tablet.otzar.org/",CHAR(35),"/book/156281/p/-1/t/1/fs/0/start/0/end/0/c"),"רבי יעקב ששפורטש")</f>
        <v>רבי יעקב ששפורטש</v>
      </c>
      <c r="H423" t="str">
        <f>_xlfn.CONCAT("https://tablet.otzar.org/",CHAR(35),"/book/156281/p/-1/t/1/fs/0/start/0/end/0/c")</f>
        <v>https://tablet.otzar.org/#/book/156281/p/-1/t/1/fs/0/start/0/end/0/c</v>
      </c>
    </row>
    <row r="424" spans="1:8" x14ac:dyDescent="0.25">
      <c r="A424">
        <v>156238</v>
      </c>
      <c r="B424" t="s">
        <v>895</v>
      </c>
      <c r="C424" t="s">
        <v>896</v>
      </c>
      <c r="D424" t="s">
        <v>10</v>
      </c>
      <c r="E424" t="s">
        <v>458</v>
      </c>
      <c r="F424" t="s">
        <v>12</v>
      </c>
      <c r="G424" t="str">
        <f>HYPERLINK(_xlfn.CONCAT("https://tablet.otzar.org/",CHAR(35),"/book/156238/p/-1/t/1/fs/0/start/0/end/0/c"),"רבי יצחק בר ששת")</f>
        <v>רבי יצחק בר ששת</v>
      </c>
      <c r="H424" t="str">
        <f>_xlfn.CONCAT("https://tablet.otzar.org/",CHAR(35),"/book/156238/p/-1/t/1/fs/0/start/0/end/0/c")</f>
        <v>https://tablet.otzar.org/#/book/156238/p/-1/t/1/fs/0/start/0/end/0/c</v>
      </c>
    </row>
    <row r="425" spans="1:8" x14ac:dyDescent="0.25">
      <c r="A425">
        <v>158972</v>
      </c>
      <c r="B425" t="s">
        <v>897</v>
      </c>
      <c r="C425" t="s">
        <v>898</v>
      </c>
      <c r="D425" t="s">
        <v>10</v>
      </c>
      <c r="E425" t="s">
        <v>899</v>
      </c>
      <c r="F425" t="s">
        <v>12</v>
      </c>
      <c r="G425" t="str">
        <f>HYPERLINK(_xlfn.CONCAT("https://tablet.otzar.org/",CHAR(35),"/book/158972/p/-1/t/1/fs/0/start/0/end/0/c"),"רבי עקיבא יוסף שלזינגר")</f>
        <v>רבי עקיבא יוסף שלזינגר</v>
      </c>
      <c r="H425" t="str">
        <f>_xlfn.CONCAT("https://tablet.otzar.org/",CHAR(35),"/book/158972/p/-1/t/1/fs/0/start/0/end/0/c")</f>
        <v>https://tablet.otzar.org/#/book/158972/p/-1/t/1/fs/0/start/0/end/0/c</v>
      </c>
    </row>
    <row r="426" spans="1:8" x14ac:dyDescent="0.25">
      <c r="A426">
        <v>156272</v>
      </c>
      <c r="B426" t="s">
        <v>900</v>
      </c>
      <c r="C426" t="s">
        <v>901</v>
      </c>
      <c r="D426" t="s">
        <v>10</v>
      </c>
      <c r="E426" t="s">
        <v>26</v>
      </c>
      <c r="F426" t="s">
        <v>92</v>
      </c>
      <c r="G426" t="str">
        <f>HYPERLINK(_xlfn.CONCAT("https://tablet.otzar.org/",CHAR(35),"/book/156272/p/-1/t/1/fs/0/start/0/end/0/c"),"רבינו אפרים")</f>
        <v>רבינו אפרים</v>
      </c>
      <c r="H426" t="str">
        <f>_xlfn.CONCAT("https://tablet.otzar.org/",CHAR(35),"/book/156272/p/-1/t/1/fs/0/start/0/end/0/c")</f>
        <v>https://tablet.otzar.org/#/book/156272/p/-1/t/1/fs/0/start/0/end/0/c</v>
      </c>
    </row>
    <row r="427" spans="1:8" x14ac:dyDescent="0.25">
      <c r="A427">
        <v>155141</v>
      </c>
      <c r="B427" t="s">
        <v>902</v>
      </c>
      <c r="C427" t="s">
        <v>440</v>
      </c>
      <c r="D427" t="s">
        <v>10</v>
      </c>
      <c r="E427" t="s">
        <v>103</v>
      </c>
      <c r="F427" t="s">
        <v>19</v>
      </c>
      <c r="G427" t="str">
        <f>HYPERLINK(_xlfn.CONCAT("https://tablet.otzar.org/",CHAR(35),"/exKotar/155141"),"רבינו בחיי על התורה &lt;מוה""""ק&gt;  - 3 כרכים")</f>
        <v>רבינו בחיי על התורה &lt;מוה""ק&gt;  - 3 כרכים</v>
      </c>
      <c r="H427" t="str">
        <f>_xlfn.CONCAT("https://tablet.otzar.org/",CHAR(35),"/exKotar/155141")</f>
        <v>https://tablet.otzar.org/#/exKotar/155141</v>
      </c>
    </row>
    <row r="428" spans="1:8" x14ac:dyDescent="0.25">
      <c r="A428">
        <v>155303</v>
      </c>
      <c r="B428" t="s">
        <v>903</v>
      </c>
      <c r="C428" t="s">
        <v>699</v>
      </c>
      <c r="D428" t="s">
        <v>10</v>
      </c>
      <c r="E428" t="s">
        <v>116</v>
      </c>
      <c r="F428" t="s">
        <v>12</v>
      </c>
      <c r="G428" t="str">
        <f>HYPERLINK(_xlfn.CONCAT("https://tablet.otzar.org/",CHAR(35),"/book/155303/p/-1/t/1/fs/0/start/0/end/0/c"),"רבנו משה בן נחמן - תולדות חייו, זמנו וחיבוריו")</f>
        <v>רבנו משה בן נחמן - תולדות חייו, זמנו וחיבוריו</v>
      </c>
      <c r="H428" t="str">
        <f>_xlfn.CONCAT("https://tablet.otzar.org/",CHAR(35),"/book/155303/p/-1/t/1/fs/0/start/0/end/0/c")</f>
        <v>https://tablet.otzar.org/#/book/155303/p/-1/t/1/fs/0/start/0/end/0/c</v>
      </c>
    </row>
    <row r="429" spans="1:8" x14ac:dyDescent="0.25">
      <c r="A429">
        <v>155068</v>
      </c>
      <c r="B429" t="s">
        <v>904</v>
      </c>
      <c r="C429" t="s">
        <v>905</v>
      </c>
      <c r="D429" t="s">
        <v>10</v>
      </c>
      <c r="E429" t="s">
        <v>411</v>
      </c>
      <c r="F429" t="s">
        <v>12</v>
      </c>
      <c r="G429" t="str">
        <f>HYPERLINK(_xlfn.CONCAT("https://tablet.otzar.org/",CHAR(35),"/book/155068/p/-1/t/1/fs/0/start/0/end/0/c"),"רבנו עובדיה מברטנורא")</f>
        <v>רבנו עובדיה מברטנורא</v>
      </c>
      <c r="H429" t="str">
        <f>_xlfn.CONCAT("https://tablet.otzar.org/",CHAR(35),"/book/155068/p/-1/t/1/fs/0/start/0/end/0/c")</f>
        <v>https://tablet.otzar.org/#/book/155068/p/-1/t/1/fs/0/start/0/end/0/c</v>
      </c>
    </row>
    <row r="430" spans="1:8" x14ac:dyDescent="0.25">
      <c r="A430">
        <v>156237</v>
      </c>
      <c r="B430" t="s">
        <v>906</v>
      </c>
      <c r="C430" t="s">
        <v>907</v>
      </c>
      <c r="D430" t="s">
        <v>10</v>
      </c>
      <c r="E430" t="s">
        <v>30</v>
      </c>
      <c r="F430" t="s">
        <v>12</v>
      </c>
      <c r="G430" t="str">
        <f>HYPERLINK(_xlfn.CONCAT("https://tablet.otzar.org/",CHAR(35),"/book/156237/p/-1/t/1/fs/0/start/0/end/0/c"),"רבני פרנקפורט")</f>
        <v>רבני פרנקפורט</v>
      </c>
      <c r="H430" t="str">
        <f>_xlfn.CONCAT("https://tablet.otzar.org/",CHAR(35),"/book/156237/p/-1/t/1/fs/0/start/0/end/0/c")</f>
        <v>https://tablet.otzar.org/#/book/156237/p/-1/t/1/fs/0/start/0/end/0/c</v>
      </c>
    </row>
    <row r="431" spans="1:8" x14ac:dyDescent="0.25">
      <c r="A431">
        <v>688802</v>
      </c>
      <c r="B431" t="s">
        <v>908</v>
      </c>
      <c r="C431" t="s">
        <v>310</v>
      </c>
      <c r="D431" t="s">
        <v>10</v>
      </c>
      <c r="E431" t="s">
        <v>54</v>
      </c>
      <c r="G431" t="str">
        <f>HYPERLINK(_xlfn.CONCAT("https://tablet.otzar.org/",CHAR(35),"/book/688802/p/-1/t/1/fs/0/start/0/end/0/c"),"רי""""ף מסכת ברכות")</f>
        <v>רי""ף מסכת ברכות</v>
      </c>
      <c r="H431" t="str">
        <f>_xlfn.CONCAT("https://tablet.otzar.org/",CHAR(35),"/book/688802/p/-1/t/1/fs/0/start/0/end/0/c")</f>
        <v>https://tablet.otzar.org/#/book/688802/p/-1/t/1/fs/0/start/0/end/0/c</v>
      </c>
    </row>
    <row r="432" spans="1:8" x14ac:dyDescent="0.25">
      <c r="A432">
        <v>180346</v>
      </c>
      <c r="B432" t="s">
        <v>909</v>
      </c>
      <c r="C432" t="s">
        <v>910</v>
      </c>
      <c r="D432" t="s">
        <v>10</v>
      </c>
      <c r="E432" t="s">
        <v>64</v>
      </c>
      <c r="F432" t="s">
        <v>186</v>
      </c>
      <c r="G432" t="str">
        <f>HYPERLINK(_xlfn.CONCAT("https://tablet.otzar.org/",CHAR(35),"/book/180346/p/-1/t/1/fs/0/start/0/end/0/c"),"רינת האמונה")</f>
        <v>רינת האמונה</v>
      </c>
      <c r="H432" t="str">
        <f>_xlfn.CONCAT("https://tablet.otzar.org/",CHAR(35),"/book/180346/p/-1/t/1/fs/0/start/0/end/0/c")</f>
        <v>https://tablet.otzar.org/#/book/180346/p/-1/t/1/fs/0/start/0/end/0/c</v>
      </c>
    </row>
    <row r="433" spans="1:8" x14ac:dyDescent="0.25">
      <c r="A433">
        <v>155108</v>
      </c>
      <c r="B433" t="s">
        <v>911</v>
      </c>
      <c r="C433" t="s">
        <v>912</v>
      </c>
      <c r="D433" t="s">
        <v>10</v>
      </c>
      <c r="E433" t="s">
        <v>913</v>
      </c>
      <c r="F433" t="s">
        <v>72</v>
      </c>
      <c r="G433" t="str">
        <f>HYPERLINK(_xlfn.CONCAT("https://tablet.otzar.org/",CHAR(35),"/exKotar/155108"),"שאילתות דרב אחאי גאון &lt;העמק שאלה&gt;  - 3 כרכים")</f>
        <v>שאילתות דרב אחאי גאון &lt;העמק שאלה&gt;  - 3 כרכים</v>
      </c>
      <c r="H433" t="str">
        <f>_xlfn.CONCAT("https://tablet.otzar.org/",CHAR(35),"/exKotar/155108")</f>
        <v>https://tablet.otzar.org/#/exKotar/155108</v>
      </c>
    </row>
    <row r="434" spans="1:8" x14ac:dyDescent="0.25">
      <c r="A434">
        <v>622911</v>
      </c>
      <c r="B434" t="s">
        <v>914</v>
      </c>
      <c r="C434" t="s">
        <v>915</v>
      </c>
      <c r="D434" t="s">
        <v>10</v>
      </c>
      <c r="E434" t="s">
        <v>38</v>
      </c>
      <c r="F434" t="s">
        <v>165</v>
      </c>
      <c r="G434" t="str">
        <f>HYPERLINK(_xlfn.CONCAT("https://tablet.otzar.org/",CHAR(35),"/book/622911/p/-1/t/1/fs/0/start/0/end/0/c"),"שבחי ארץ החיים &lt;מהדורה חדשה&gt;")</f>
        <v>שבחי ארץ החיים &lt;מהדורה חדשה&gt;</v>
      </c>
      <c r="H434" t="str">
        <f>_xlfn.CONCAT("https://tablet.otzar.org/",CHAR(35),"/book/622911/p/-1/t/1/fs/0/start/0/end/0/c")</f>
        <v>https://tablet.otzar.org/#/book/622911/p/-1/t/1/fs/0/start/0/end/0/c</v>
      </c>
    </row>
    <row r="435" spans="1:8" x14ac:dyDescent="0.25">
      <c r="A435">
        <v>156271</v>
      </c>
      <c r="B435" t="s">
        <v>916</v>
      </c>
      <c r="C435" t="s">
        <v>917</v>
      </c>
      <c r="D435" t="s">
        <v>10</v>
      </c>
      <c r="E435" t="s">
        <v>50</v>
      </c>
      <c r="F435" t="s">
        <v>92</v>
      </c>
      <c r="G435" t="str">
        <f>HYPERLINK(_xlfn.CONCAT("https://tablet.otzar.org/",CHAR(35),"/book/156271/p/-1/t/1/fs/0/start/0/end/0/c"),"שבט מיהודה")</f>
        <v>שבט מיהודה</v>
      </c>
      <c r="H435" t="str">
        <f>_xlfn.CONCAT("https://tablet.otzar.org/",CHAR(35),"/book/156271/p/-1/t/1/fs/0/start/0/end/0/c")</f>
        <v>https://tablet.otzar.org/#/book/156271/p/-1/t/1/fs/0/start/0/end/0/c</v>
      </c>
    </row>
    <row r="436" spans="1:8" x14ac:dyDescent="0.25">
      <c r="A436">
        <v>174422</v>
      </c>
      <c r="B436" t="s">
        <v>918</v>
      </c>
      <c r="C436" t="s">
        <v>919</v>
      </c>
      <c r="D436" t="s">
        <v>10</v>
      </c>
      <c r="E436" t="s">
        <v>64</v>
      </c>
      <c r="F436" t="s">
        <v>31</v>
      </c>
      <c r="G436" t="str">
        <f>HYPERLINK(_xlfn.CONCAT("https://tablet.otzar.org/",CHAR(35),"/book/174422/p/-1/t/1/fs/0/start/0/end/0/c"),"שבילי ניסן")</f>
        <v>שבילי ניסן</v>
      </c>
      <c r="H436" t="str">
        <f>_xlfn.CONCAT("https://tablet.otzar.org/",CHAR(35),"/book/174422/p/-1/t/1/fs/0/start/0/end/0/c")</f>
        <v>https://tablet.otzar.org/#/book/174422/p/-1/t/1/fs/0/start/0/end/0/c</v>
      </c>
    </row>
    <row r="437" spans="1:8" x14ac:dyDescent="0.25">
      <c r="A437">
        <v>174417</v>
      </c>
      <c r="B437" t="s">
        <v>920</v>
      </c>
      <c r="C437" t="s">
        <v>921</v>
      </c>
      <c r="D437" t="s">
        <v>10</v>
      </c>
      <c r="E437" t="s">
        <v>64</v>
      </c>
      <c r="F437" t="s">
        <v>152</v>
      </c>
      <c r="G437" t="str">
        <f>HYPERLINK(_xlfn.CONCAT("https://tablet.otzar.org/",CHAR(35),"/book/174417/p/-1/t/1/fs/0/start/0/end/0/c"),"שבעים פנים לתורה")</f>
        <v>שבעים פנים לתורה</v>
      </c>
      <c r="H437" t="str">
        <f>_xlfn.CONCAT("https://tablet.otzar.org/",CHAR(35),"/book/174417/p/-1/t/1/fs/0/start/0/end/0/c")</f>
        <v>https://tablet.otzar.org/#/book/174417/p/-1/t/1/fs/0/start/0/end/0/c</v>
      </c>
    </row>
    <row r="438" spans="1:8" x14ac:dyDescent="0.25">
      <c r="A438">
        <v>154974</v>
      </c>
      <c r="B438" t="s">
        <v>922</v>
      </c>
      <c r="C438" t="s">
        <v>74</v>
      </c>
      <c r="D438" t="s">
        <v>10</v>
      </c>
      <c r="E438" t="s">
        <v>235</v>
      </c>
      <c r="F438" t="s">
        <v>72</v>
      </c>
      <c r="G438" t="str">
        <f>HYPERLINK(_xlfn.CONCAT("https://tablet.otzar.org/",CHAR(35),"/book/154974/p/-1/t/1/fs/0/start/0/end/0/c"),"שבת הארץ")</f>
        <v>שבת הארץ</v>
      </c>
      <c r="H438" t="str">
        <f>_xlfn.CONCAT("https://tablet.otzar.org/",CHAR(35),"/book/154974/p/-1/t/1/fs/0/start/0/end/0/c")</f>
        <v>https://tablet.otzar.org/#/book/154974/p/-1/t/1/fs/0/start/0/end/0/c</v>
      </c>
    </row>
    <row r="439" spans="1:8" x14ac:dyDescent="0.25">
      <c r="A439">
        <v>157363</v>
      </c>
      <c r="B439" t="s">
        <v>923</v>
      </c>
      <c r="C439" t="s">
        <v>435</v>
      </c>
      <c r="D439" t="s">
        <v>10</v>
      </c>
      <c r="E439" t="s">
        <v>436</v>
      </c>
      <c r="F439" t="s">
        <v>51</v>
      </c>
      <c r="G439" t="str">
        <f>HYPERLINK(_xlfn.CONCAT("https://tablet.otzar.org/",CHAR(35),"/book/157363/p/-1/t/1/fs/0/start/0/end/0/c"),"שו""""ת בית רידב""""ז")</f>
        <v>שו""ת בית רידב""ז</v>
      </c>
      <c r="H439" t="str">
        <f>_xlfn.CONCAT("https://tablet.otzar.org/",CHAR(35),"/book/157363/p/-1/t/1/fs/0/start/0/end/0/c")</f>
        <v>https://tablet.otzar.org/#/book/157363/p/-1/t/1/fs/0/start/0/end/0/c</v>
      </c>
    </row>
    <row r="440" spans="1:8" x14ac:dyDescent="0.25">
      <c r="A440">
        <v>606728</v>
      </c>
      <c r="B440" t="s">
        <v>924</v>
      </c>
      <c r="C440" t="s">
        <v>925</v>
      </c>
      <c r="D440" t="s">
        <v>10</v>
      </c>
      <c r="E440" t="s">
        <v>83</v>
      </c>
      <c r="F440" t="s">
        <v>19</v>
      </c>
      <c r="G440" t="str">
        <f>HYPERLINK(_xlfn.CONCAT("https://tablet.otzar.org/",CHAR(35),"/book/606728/p/-1/t/1/fs/0/start/0/end/0/c"),"שו""""ת הפרשה")</f>
        <v>שו""ת הפרשה</v>
      </c>
      <c r="H440" t="str">
        <f>_xlfn.CONCAT("https://tablet.otzar.org/",CHAR(35),"/book/606728/p/-1/t/1/fs/0/start/0/end/0/c")</f>
        <v>https://tablet.otzar.org/#/book/606728/p/-1/t/1/fs/0/start/0/end/0/c</v>
      </c>
    </row>
    <row r="441" spans="1:8" x14ac:dyDescent="0.25">
      <c r="A441">
        <v>154946</v>
      </c>
      <c r="B441" t="s">
        <v>926</v>
      </c>
      <c r="C441" t="s">
        <v>377</v>
      </c>
      <c r="D441" t="s">
        <v>10</v>
      </c>
      <c r="E441" t="s">
        <v>251</v>
      </c>
      <c r="F441" t="s">
        <v>51</v>
      </c>
      <c r="G441" t="str">
        <f>HYPERLINK(_xlfn.CONCAT("https://tablet.otzar.org/",CHAR(35),"/book/154946/p/-1/t/1/fs/0/start/0/end/0/c"),"שו""""ת הריטב""""א")</f>
        <v>שו""ת הריטב""א</v>
      </c>
      <c r="H441" t="str">
        <f>_xlfn.CONCAT("https://tablet.otzar.org/",CHAR(35),"/book/154946/p/-1/t/1/fs/0/start/0/end/0/c")</f>
        <v>https://tablet.otzar.org/#/book/154946/p/-1/t/1/fs/0/start/0/end/0/c</v>
      </c>
    </row>
    <row r="442" spans="1:8" x14ac:dyDescent="0.25">
      <c r="A442">
        <v>156440</v>
      </c>
      <c r="B442" t="s">
        <v>927</v>
      </c>
      <c r="C442" t="s">
        <v>928</v>
      </c>
      <c r="D442" t="s">
        <v>10</v>
      </c>
      <c r="E442" t="s">
        <v>168</v>
      </c>
      <c r="F442" t="s">
        <v>51</v>
      </c>
      <c r="G442" t="str">
        <f>HYPERLINK(_xlfn.CONCAT("https://tablet.otzar.org/",CHAR(35),"/book/156440/p/-1/t/1/fs/0/start/0/end/0/c"),"שו""""ת מהר""""ש מוהליבר")</f>
        <v>שו""ת מהר""ש מוהליבר</v>
      </c>
      <c r="H442" t="str">
        <f>_xlfn.CONCAT("https://tablet.otzar.org/",CHAR(35),"/book/156440/p/-1/t/1/fs/0/start/0/end/0/c")</f>
        <v>https://tablet.otzar.org/#/book/156440/p/-1/t/1/fs/0/start/0/end/0/c</v>
      </c>
    </row>
    <row r="443" spans="1:8" x14ac:dyDescent="0.25">
      <c r="A443">
        <v>155535</v>
      </c>
      <c r="B443" t="s">
        <v>929</v>
      </c>
      <c r="C443" t="s">
        <v>930</v>
      </c>
      <c r="D443" t="s">
        <v>10</v>
      </c>
      <c r="E443" t="s">
        <v>931</v>
      </c>
      <c r="F443" t="s">
        <v>51</v>
      </c>
      <c r="G443" t="str">
        <f>HYPERLINK(_xlfn.CONCAT("https://tablet.otzar.org/",CHAR(35),"/book/155535/p/-1/t/1/fs/0/start/0/end/0/c"),"שו""""ת מן השמים &lt;עם הערות הגר""""ר מרגליות&gt;")</f>
        <v>שו""ת מן השמים &lt;עם הערות הגר""ר מרגליות&gt;</v>
      </c>
      <c r="H443" t="str">
        <f>_xlfn.CONCAT("https://tablet.otzar.org/",CHAR(35),"/book/155535/p/-1/t/1/fs/0/start/0/end/0/c")</f>
        <v>https://tablet.otzar.org/#/book/155535/p/-1/t/1/fs/0/start/0/end/0/c</v>
      </c>
    </row>
    <row r="444" spans="1:8" x14ac:dyDescent="0.25">
      <c r="A444">
        <v>157317</v>
      </c>
      <c r="B444" t="s">
        <v>932</v>
      </c>
      <c r="C444" t="s">
        <v>933</v>
      </c>
      <c r="D444" t="s">
        <v>10</v>
      </c>
      <c r="E444" t="s">
        <v>75</v>
      </c>
      <c r="F444" t="s">
        <v>51</v>
      </c>
      <c r="G444" t="str">
        <f>HYPERLINK(_xlfn.CONCAT("https://tablet.otzar.org/",CHAR(35),"/exKotar/157317"),"שו""""ת רבי שלמה איגר - 3 כרכים")</f>
        <v>שו""ת רבי שלמה איגר - 3 כרכים</v>
      </c>
      <c r="H444" t="str">
        <f>_xlfn.CONCAT("https://tablet.otzar.org/",CHAR(35),"/exKotar/157317")</f>
        <v>https://tablet.otzar.org/#/exKotar/157317</v>
      </c>
    </row>
    <row r="445" spans="1:8" x14ac:dyDescent="0.25">
      <c r="A445">
        <v>157362</v>
      </c>
      <c r="B445" t="s">
        <v>934</v>
      </c>
      <c r="C445" t="s">
        <v>435</v>
      </c>
      <c r="D445" t="s">
        <v>10</v>
      </c>
      <c r="E445" t="s">
        <v>436</v>
      </c>
      <c r="F445" t="s">
        <v>51</v>
      </c>
      <c r="G445" t="str">
        <f>HYPERLINK(_xlfn.CONCAT("https://tablet.otzar.org/",CHAR(35),"/book/157362/p/-1/t/1/fs/0/start/0/end/0/c"),"שו""""ת רידב""""ז")</f>
        <v>שו""ת רידב""ז</v>
      </c>
      <c r="H445" t="str">
        <f>_xlfn.CONCAT("https://tablet.otzar.org/",CHAR(35),"/book/157362/p/-1/t/1/fs/0/start/0/end/0/c")</f>
        <v>https://tablet.otzar.org/#/book/157362/p/-1/t/1/fs/0/start/0/end/0/c</v>
      </c>
    </row>
    <row r="446" spans="1:8" x14ac:dyDescent="0.25">
      <c r="A446">
        <v>156301</v>
      </c>
      <c r="B446" t="s">
        <v>935</v>
      </c>
      <c r="C446" t="s">
        <v>936</v>
      </c>
      <c r="D446" t="s">
        <v>10</v>
      </c>
      <c r="E446" t="s">
        <v>168</v>
      </c>
      <c r="F446" t="s">
        <v>616</v>
      </c>
      <c r="G446" t="str">
        <f>HYPERLINK(_xlfn.CONCAT("https://tablet.otzar.org/",CHAR(35),"/book/156301/p/-1/t/1/fs/0/start/0/end/0/c"),"שובה ישראל")</f>
        <v>שובה ישראל</v>
      </c>
      <c r="H446" t="str">
        <f>_xlfn.CONCAT("https://tablet.otzar.org/",CHAR(35),"/book/156301/p/-1/t/1/fs/0/start/0/end/0/c")</f>
        <v>https://tablet.otzar.org/#/book/156301/p/-1/t/1/fs/0/start/0/end/0/c</v>
      </c>
    </row>
    <row r="447" spans="1:8" x14ac:dyDescent="0.25">
      <c r="A447">
        <v>169999</v>
      </c>
      <c r="B447" t="s">
        <v>937</v>
      </c>
      <c r="C447" t="s">
        <v>112</v>
      </c>
      <c r="D447" t="s">
        <v>10</v>
      </c>
      <c r="E447" t="s">
        <v>124</v>
      </c>
      <c r="F447" t="s">
        <v>94</v>
      </c>
      <c r="G447" t="str">
        <f>HYPERLINK(_xlfn.CONCAT("https://tablet.otzar.org/",CHAR(35),"/book/169999/p/-1/t/1/fs/0/start/0/end/0/c"),"שיח שאול - לימים הנוראים")</f>
        <v>שיח שאול - לימים הנוראים</v>
      </c>
      <c r="H447" t="str">
        <f>_xlfn.CONCAT("https://tablet.otzar.org/",CHAR(35),"/book/169999/p/-1/t/1/fs/0/start/0/end/0/c")</f>
        <v>https://tablet.otzar.org/#/book/169999/p/-1/t/1/fs/0/start/0/end/0/c</v>
      </c>
    </row>
    <row r="448" spans="1:8" x14ac:dyDescent="0.25">
      <c r="A448">
        <v>154793</v>
      </c>
      <c r="B448" t="s">
        <v>938</v>
      </c>
      <c r="C448" t="s">
        <v>939</v>
      </c>
      <c r="D448" t="s">
        <v>10</v>
      </c>
      <c r="E448" t="s">
        <v>103</v>
      </c>
      <c r="F448" t="s">
        <v>152</v>
      </c>
      <c r="G448" t="str">
        <f>HYPERLINK(_xlfn.CONCAT("https://tablet.otzar.org/",CHAR(35),"/exKotar/154793"),"שיטה מקובצת &lt;מוה""""ק&gt;  - 17 כרכים")</f>
        <v>שיטה מקובצת &lt;מוה""ק&gt;  - 17 כרכים</v>
      </c>
      <c r="H448" t="str">
        <f>_xlfn.CONCAT("https://tablet.otzar.org/",CHAR(35),"/exKotar/154793")</f>
        <v>https://tablet.otzar.org/#/exKotar/154793</v>
      </c>
    </row>
    <row r="449" spans="1:8" x14ac:dyDescent="0.25">
      <c r="A449">
        <v>174433</v>
      </c>
      <c r="B449" t="s">
        <v>940</v>
      </c>
      <c r="C449" t="s">
        <v>941</v>
      </c>
      <c r="D449" t="s">
        <v>10</v>
      </c>
      <c r="E449" t="s">
        <v>64</v>
      </c>
      <c r="F449" t="s">
        <v>152</v>
      </c>
      <c r="G449" t="str">
        <f>HYPERLINK(_xlfn.CONCAT("https://tablet.otzar.org/",CHAR(35),"/exKotar/174433"),"שיעורי הגרי""""ד - 3 כרכים")</f>
        <v>שיעורי הגרי""ד - 3 כרכים</v>
      </c>
      <c r="H449" t="str">
        <f>_xlfn.CONCAT("https://tablet.otzar.org/",CHAR(35),"/exKotar/174433")</f>
        <v>https://tablet.otzar.org/#/exKotar/174433</v>
      </c>
    </row>
    <row r="450" spans="1:8" x14ac:dyDescent="0.25">
      <c r="A450">
        <v>155542</v>
      </c>
      <c r="B450" t="s">
        <v>942</v>
      </c>
      <c r="C450" t="s">
        <v>943</v>
      </c>
      <c r="D450" t="s">
        <v>10</v>
      </c>
      <c r="E450" t="s">
        <v>251</v>
      </c>
      <c r="F450" t="s">
        <v>152</v>
      </c>
      <c r="G450" t="str">
        <f>HYPERLINK(_xlfn.CONCAT("https://tablet.otzar.org/",CHAR(35),"/book/155542/p/-1/t/1/fs/0/start/0/end/0/c"),"שיעורי ראשי ישיבות ליטא")</f>
        <v>שיעורי ראשי ישיבות ליטא</v>
      </c>
      <c r="H450" t="str">
        <f>_xlfn.CONCAT("https://tablet.otzar.org/",CHAR(35),"/book/155542/p/-1/t/1/fs/0/start/0/end/0/c")</f>
        <v>https://tablet.otzar.org/#/book/155542/p/-1/t/1/fs/0/start/0/end/0/c</v>
      </c>
    </row>
    <row r="451" spans="1:8" x14ac:dyDescent="0.25">
      <c r="A451">
        <v>155215</v>
      </c>
      <c r="B451" t="s">
        <v>944</v>
      </c>
      <c r="C451" t="s">
        <v>945</v>
      </c>
      <c r="D451" t="s">
        <v>10</v>
      </c>
      <c r="E451" t="s">
        <v>766</v>
      </c>
      <c r="F451" t="s">
        <v>152</v>
      </c>
      <c r="G451" t="str">
        <f>HYPERLINK(_xlfn.CONCAT("https://tablet.otzar.org/",CHAR(35),"/book/155215/p/-1/t/1/fs/0/start/0/end/0/c"),"שיעורי רבי שמעון יהודה הכהן שקאפ - נשים, נזיקין")</f>
        <v>שיעורי רבי שמעון יהודה הכהן שקאפ - נשים, נזיקין</v>
      </c>
      <c r="H451" t="str">
        <f>_xlfn.CONCAT("https://tablet.otzar.org/",CHAR(35),"/book/155215/p/-1/t/1/fs/0/start/0/end/0/c")</f>
        <v>https://tablet.otzar.org/#/book/155215/p/-1/t/1/fs/0/start/0/end/0/c</v>
      </c>
    </row>
    <row r="452" spans="1:8" x14ac:dyDescent="0.25">
      <c r="A452">
        <v>647301</v>
      </c>
      <c r="B452" t="s">
        <v>946</v>
      </c>
      <c r="C452" t="s">
        <v>264</v>
      </c>
      <c r="D452" t="s">
        <v>10</v>
      </c>
      <c r="E452" t="s">
        <v>44</v>
      </c>
      <c r="F452" t="s">
        <v>19</v>
      </c>
      <c r="G452" t="str">
        <f>HYPERLINK(_xlfn.CONCAT("https://tablet.otzar.org/",CHAR(35),"/book/647301/p/-1/t/1/fs/0/start/0/end/0/c"),"שיר השירים עם ביאור עוטה אור &lt;מהדורת מוה""""ק&gt;")</f>
        <v>שיר השירים עם ביאור עוטה אור &lt;מהדורת מוה""ק&gt;</v>
      </c>
      <c r="H452" t="str">
        <f>_xlfn.CONCAT("https://tablet.otzar.org/",CHAR(35),"/book/647301/p/-1/t/1/fs/0/start/0/end/0/c")</f>
        <v>https://tablet.otzar.org/#/book/647301/p/-1/t/1/fs/0/start/0/end/0/c</v>
      </c>
    </row>
    <row r="453" spans="1:8" x14ac:dyDescent="0.25">
      <c r="A453">
        <v>157335</v>
      </c>
      <c r="B453" t="s">
        <v>947</v>
      </c>
      <c r="C453" t="s">
        <v>948</v>
      </c>
      <c r="D453" t="s">
        <v>10</v>
      </c>
      <c r="E453" t="s">
        <v>512</v>
      </c>
      <c r="F453" t="s">
        <v>229</v>
      </c>
      <c r="G453" t="str">
        <f>HYPERLINK(_xlfn.CONCAT("https://tablet.otzar.org/",CHAR(35),"/book/157335/p/-1/t/1/fs/0/start/0/end/0/c"),"שירי היחוד והכבוד")</f>
        <v>שירי היחוד והכבוד</v>
      </c>
      <c r="H453" t="str">
        <f>_xlfn.CONCAT("https://tablet.otzar.org/",CHAR(35),"/book/157335/p/-1/t/1/fs/0/start/0/end/0/c")</f>
        <v>https://tablet.otzar.org/#/book/157335/p/-1/t/1/fs/0/start/0/end/0/c</v>
      </c>
    </row>
    <row r="454" spans="1:8" x14ac:dyDescent="0.25">
      <c r="A454">
        <v>180353</v>
      </c>
      <c r="B454" t="s">
        <v>949</v>
      </c>
      <c r="C454" t="s">
        <v>552</v>
      </c>
      <c r="D454" t="s">
        <v>10</v>
      </c>
      <c r="E454" t="s">
        <v>285</v>
      </c>
      <c r="F454" t="s">
        <v>950</v>
      </c>
      <c r="G454" t="str">
        <f>HYPERLINK(_xlfn.CONCAT("https://tablet.otzar.org/",CHAR(35),"/book/180353/p/-1/t/1/fs/0/start/0/end/0/c"),"שירי המנחה")</f>
        <v>שירי המנחה</v>
      </c>
      <c r="H454" t="str">
        <f>_xlfn.CONCAT("https://tablet.otzar.org/",CHAR(35),"/book/180353/p/-1/t/1/fs/0/start/0/end/0/c")</f>
        <v>https://tablet.otzar.org/#/book/180353/p/-1/t/1/fs/0/start/0/end/0/c</v>
      </c>
    </row>
    <row r="455" spans="1:8" x14ac:dyDescent="0.25">
      <c r="A455">
        <v>157321</v>
      </c>
      <c r="B455" t="s">
        <v>951</v>
      </c>
      <c r="C455" t="s">
        <v>952</v>
      </c>
      <c r="D455" t="s">
        <v>10</v>
      </c>
      <c r="E455" t="s">
        <v>953</v>
      </c>
      <c r="F455" t="s">
        <v>31</v>
      </c>
      <c r="G455" t="str">
        <f>HYPERLINK(_xlfn.CONCAT("https://tablet.otzar.org/",CHAR(35),"/book/157321/p/-1/t/1/fs/0/start/0/end/0/c"),"שירים - דונש בן לבראט")</f>
        <v>שירים - דונש בן לבראט</v>
      </c>
      <c r="H455" t="str">
        <f>_xlfn.CONCAT("https://tablet.otzar.org/",CHAR(35),"/book/157321/p/-1/t/1/fs/0/start/0/end/0/c")</f>
        <v>https://tablet.otzar.org/#/book/157321/p/-1/t/1/fs/0/start/0/end/0/c</v>
      </c>
    </row>
    <row r="456" spans="1:8" x14ac:dyDescent="0.25">
      <c r="A456">
        <v>688769</v>
      </c>
      <c r="B456" t="s">
        <v>954</v>
      </c>
      <c r="C456" t="s">
        <v>955</v>
      </c>
      <c r="D456" t="s">
        <v>10</v>
      </c>
      <c r="E456" t="s">
        <v>54</v>
      </c>
      <c r="G456" t="str">
        <f>HYPERLINK(_xlfn.CONCAT("https://tablet.otzar.org/",CHAR(35),"/book/688769/p/-1/t/1/fs/0/start/0/end/0/c"),"שלמות הקבלה והמסורה")</f>
        <v>שלמות הקבלה והמסורה</v>
      </c>
      <c r="H456" t="str">
        <f>_xlfn.CONCAT("https://tablet.otzar.org/",CHAR(35),"/book/688769/p/-1/t/1/fs/0/start/0/end/0/c")</f>
        <v>https://tablet.otzar.org/#/book/688769/p/-1/t/1/fs/0/start/0/end/0/c</v>
      </c>
    </row>
    <row r="457" spans="1:8" x14ac:dyDescent="0.25">
      <c r="A457">
        <v>174423</v>
      </c>
      <c r="B457" t="s">
        <v>956</v>
      </c>
      <c r="C457" t="s">
        <v>957</v>
      </c>
      <c r="D457" t="s">
        <v>10</v>
      </c>
      <c r="E457" t="s">
        <v>64</v>
      </c>
      <c r="F457" t="s">
        <v>92</v>
      </c>
      <c r="G457" t="str">
        <f>HYPERLINK(_xlfn.CONCAT("https://tablet.otzar.org/",CHAR(35),"/book/174423/p/-1/t/1/fs/0/start/0/end/0/c"),"שלמי מנחם - הלכות שכנים ושכירות פועלים")</f>
        <v>שלמי מנחם - הלכות שכנים ושכירות פועלים</v>
      </c>
      <c r="H457" t="str">
        <f>_xlfn.CONCAT("https://tablet.otzar.org/",CHAR(35),"/book/174423/p/-1/t/1/fs/0/start/0/end/0/c")</f>
        <v>https://tablet.otzar.org/#/book/174423/p/-1/t/1/fs/0/start/0/end/0/c</v>
      </c>
    </row>
    <row r="458" spans="1:8" x14ac:dyDescent="0.25">
      <c r="A458">
        <v>601536</v>
      </c>
      <c r="B458" t="s">
        <v>958</v>
      </c>
      <c r="C458" t="s">
        <v>959</v>
      </c>
      <c r="D458" t="s">
        <v>10</v>
      </c>
      <c r="E458" t="s">
        <v>127</v>
      </c>
      <c r="G458" t="str">
        <f>HYPERLINK(_xlfn.CONCAT("https://tablet.otzar.org/",CHAR(35),"/book/601536/p/-1/t/1/fs/0/start/0/end/0/c"),"שלמי שמחה")</f>
        <v>שלמי שמחה</v>
      </c>
      <c r="H458" t="str">
        <f>_xlfn.CONCAT("https://tablet.otzar.org/",CHAR(35),"/book/601536/p/-1/t/1/fs/0/start/0/end/0/c")</f>
        <v>https://tablet.otzar.org/#/book/601536/p/-1/t/1/fs/0/start/0/end/0/c</v>
      </c>
    </row>
    <row r="459" spans="1:8" x14ac:dyDescent="0.25">
      <c r="A459">
        <v>156246</v>
      </c>
      <c r="B459" t="s">
        <v>960</v>
      </c>
      <c r="C459" t="s">
        <v>961</v>
      </c>
      <c r="D459" t="s">
        <v>10</v>
      </c>
      <c r="E459" t="s">
        <v>660</v>
      </c>
      <c r="F459" t="s">
        <v>152</v>
      </c>
      <c r="G459" t="str">
        <f>HYPERLINK(_xlfn.CONCAT("https://tablet.otzar.org/",CHAR(35),"/exKotar/156246"),"שם דרך - 2 כרכים")</f>
        <v>שם דרך - 2 כרכים</v>
      </c>
      <c r="H459" t="str">
        <f>_xlfn.CONCAT("https://tablet.otzar.org/",CHAR(35),"/exKotar/156246")</f>
        <v>https://tablet.otzar.org/#/exKotar/156246</v>
      </c>
    </row>
    <row r="460" spans="1:8" x14ac:dyDescent="0.25">
      <c r="A460">
        <v>157004</v>
      </c>
      <c r="B460" t="s">
        <v>962</v>
      </c>
      <c r="C460" t="s">
        <v>963</v>
      </c>
      <c r="D460" t="s">
        <v>10</v>
      </c>
      <c r="E460" t="s">
        <v>172</v>
      </c>
      <c r="F460" t="s">
        <v>292</v>
      </c>
      <c r="G460" t="str">
        <f>HYPERLINK(_xlfn.CONCAT("https://tablet.otzar.org/",CHAR(35),"/book/157004/p/-1/t/1/fs/0/start/0/end/0/c"),"שם משמעון")</f>
        <v>שם משמעון</v>
      </c>
      <c r="H460" t="str">
        <f>_xlfn.CONCAT("https://tablet.otzar.org/",CHAR(35),"/book/157004/p/-1/t/1/fs/0/start/0/end/0/c")</f>
        <v>https://tablet.otzar.org/#/book/157004/p/-1/t/1/fs/0/start/0/end/0/c</v>
      </c>
    </row>
    <row r="461" spans="1:8" x14ac:dyDescent="0.25">
      <c r="A461">
        <v>155146</v>
      </c>
      <c r="B461" t="s">
        <v>964</v>
      </c>
      <c r="C461" t="s">
        <v>329</v>
      </c>
      <c r="D461" t="s">
        <v>10</v>
      </c>
      <c r="E461" t="s">
        <v>274</v>
      </c>
      <c r="F461" t="s">
        <v>152</v>
      </c>
      <c r="G461" t="str">
        <f>HYPERLINK(_xlfn.CONCAT("https://tablet.otzar.org/",CHAR(35),"/book/155146/p/-1/t/1/fs/0/start/0/end/0/c"),"שם עולם")</f>
        <v>שם עולם</v>
      </c>
      <c r="H461" t="str">
        <f>_xlfn.CONCAT("https://tablet.otzar.org/",CHAR(35),"/book/155146/p/-1/t/1/fs/0/start/0/end/0/c")</f>
        <v>https://tablet.otzar.org/#/book/155146/p/-1/t/1/fs/0/start/0/end/0/c</v>
      </c>
    </row>
    <row r="462" spans="1:8" x14ac:dyDescent="0.25">
      <c r="A462">
        <v>155554</v>
      </c>
      <c r="B462" t="s">
        <v>965</v>
      </c>
      <c r="C462" t="s">
        <v>966</v>
      </c>
      <c r="D462" t="s">
        <v>10</v>
      </c>
      <c r="E462" t="s">
        <v>436</v>
      </c>
      <c r="F462" t="s">
        <v>19</v>
      </c>
      <c r="G462" t="str">
        <f>HYPERLINK(_xlfn.CONCAT("https://tablet.otzar.org/",CHAR(35),"/book/155554/p/-1/t/1/fs/0/start/0/end/0/c"),"שמואל עם פירוש רש""""י &lt;מוה""""ק&gt;")</f>
        <v>שמואל עם פירוש רש""י &lt;מוה""ק&gt;</v>
      </c>
      <c r="H462" t="str">
        <f>_xlfn.CONCAT("https://tablet.otzar.org/",CHAR(35),"/book/155554/p/-1/t/1/fs/0/start/0/end/0/c")</f>
        <v>https://tablet.otzar.org/#/book/155554/p/-1/t/1/fs/0/start/0/end/0/c</v>
      </c>
    </row>
    <row r="463" spans="1:8" x14ac:dyDescent="0.25">
      <c r="A463">
        <v>155309</v>
      </c>
      <c r="B463" t="s">
        <v>967</v>
      </c>
      <c r="C463" t="s">
        <v>317</v>
      </c>
      <c r="D463" t="s">
        <v>10</v>
      </c>
      <c r="E463" t="s">
        <v>408</v>
      </c>
      <c r="F463" t="s">
        <v>186</v>
      </c>
      <c r="G463" t="str">
        <f>HYPERLINK(_xlfn.CONCAT("https://tablet.otzar.org/",CHAR(35),"/book/155309/p/-1/t/1/fs/0/start/0/end/0/c"),"שמונה פרקים לרמב""""ם")</f>
        <v>שמונה פרקים לרמב""ם</v>
      </c>
      <c r="H463" t="str">
        <f>_xlfn.CONCAT("https://tablet.otzar.org/",CHAR(35),"/book/155309/p/-1/t/1/fs/0/start/0/end/0/c")</f>
        <v>https://tablet.otzar.org/#/book/155309/p/-1/t/1/fs/0/start/0/end/0/c</v>
      </c>
    </row>
    <row r="464" spans="1:8" x14ac:dyDescent="0.25">
      <c r="A464">
        <v>155096</v>
      </c>
      <c r="B464" t="s">
        <v>968</v>
      </c>
      <c r="C464" t="s">
        <v>703</v>
      </c>
      <c r="D464" t="s">
        <v>10</v>
      </c>
      <c r="E464" t="s">
        <v>300</v>
      </c>
      <c r="F464" t="s">
        <v>72</v>
      </c>
      <c r="G464" t="str">
        <f>HYPERLINK(_xlfn.CONCAT("https://tablet.otzar.org/",CHAR(35),"/book/155096/p/-1/t/1/fs/0/start/0/end/0/c"),"שמיטת כספים")</f>
        <v>שמיטת כספים</v>
      </c>
      <c r="H464" t="str">
        <f>_xlfn.CONCAT("https://tablet.otzar.org/",CHAR(35),"/book/155096/p/-1/t/1/fs/0/start/0/end/0/c")</f>
        <v>https://tablet.otzar.org/#/book/155096/p/-1/t/1/fs/0/start/0/end/0/c</v>
      </c>
    </row>
    <row r="465" spans="1:8" x14ac:dyDescent="0.25">
      <c r="A465">
        <v>155150</v>
      </c>
      <c r="B465" t="s">
        <v>969</v>
      </c>
      <c r="C465" t="s">
        <v>970</v>
      </c>
      <c r="D465" t="s">
        <v>10</v>
      </c>
      <c r="E465" t="s">
        <v>139</v>
      </c>
      <c r="F465" t="s">
        <v>19</v>
      </c>
      <c r="G465" t="str">
        <f>HYPERLINK(_xlfn.CONCAT("https://tablet.otzar.org/",CHAR(35),"/exKotar/155150"),"שמעתי מרבי - 2 כרכים")</f>
        <v>שמעתי מרבי - 2 כרכים</v>
      </c>
      <c r="H465" t="str">
        <f>_xlfn.CONCAT("https://tablet.otzar.org/",CHAR(35),"/exKotar/155150")</f>
        <v>https://tablet.otzar.org/#/exKotar/155150</v>
      </c>
    </row>
    <row r="466" spans="1:8" x14ac:dyDescent="0.25">
      <c r="A466">
        <v>158978</v>
      </c>
      <c r="B466" t="s">
        <v>971</v>
      </c>
      <c r="C466" t="s">
        <v>972</v>
      </c>
      <c r="D466" t="s">
        <v>10</v>
      </c>
      <c r="E466" t="s">
        <v>144</v>
      </c>
      <c r="F466" t="s">
        <v>31</v>
      </c>
      <c r="G466" t="str">
        <f>HYPERLINK(_xlfn.CONCAT("https://tablet.otzar.org/",CHAR(35),"/book/158978/p/-1/t/1/fs/0/start/0/end/0/c"),"שמש בענן")</f>
        <v>שמש בענן</v>
      </c>
      <c r="H466" t="str">
        <f>_xlfn.CONCAT("https://tablet.otzar.org/",CHAR(35),"/book/158978/p/-1/t/1/fs/0/start/0/end/0/c")</f>
        <v>https://tablet.otzar.org/#/book/158978/p/-1/t/1/fs/0/start/0/end/0/c</v>
      </c>
    </row>
    <row r="467" spans="1:8" x14ac:dyDescent="0.25">
      <c r="A467">
        <v>155162</v>
      </c>
      <c r="B467" t="s">
        <v>973</v>
      </c>
      <c r="C467" t="s">
        <v>974</v>
      </c>
      <c r="D467" t="s">
        <v>10</v>
      </c>
      <c r="E467" t="s">
        <v>71</v>
      </c>
      <c r="F467" t="s">
        <v>152</v>
      </c>
      <c r="G467" t="str">
        <f>HYPERLINK(_xlfn.CONCAT("https://tablet.otzar.org/",CHAR(35),"/exKotar/155162"),"שעורים לזכר אבא מרי ז""""ל - 2 כרכים")</f>
        <v>שעורים לזכר אבא מרי ז""ל - 2 כרכים</v>
      </c>
      <c r="H467" t="str">
        <f>_xlfn.CONCAT("https://tablet.otzar.org/",CHAR(35),"/exKotar/155162")</f>
        <v>https://tablet.otzar.org/#/exKotar/155162</v>
      </c>
    </row>
    <row r="468" spans="1:8" x14ac:dyDescent="0.25">
      <c r="A468">
        <v>182065</v>
      </c>
      <c r="B468" t="s">
        <v>975</v>
      </c>
      <c r="C468" t="s">
        <v>976</v>
      </c>
      <c r="D468" t="s">
        <v>10</v>
      </c>
      <c r="E468" t="s">
        <v>103</v>
      </c>
      <c r="G468" t="str">
        <f>HYPERLINK(_xlfn.CONCAT("https://tablet.otzar.org/",CHAR(35),"/book/182065/p/-1/t/1/fs/0/start/0/end/0/c"),"שערי בריאות הגוף והנפש לפי הרמב""""ם")</f>
        <v>שערי בריאות הגוף והנפש לפי הרמב""ם</v>
      </c>
      <c r="H468" t="str">
        <f>_xlfn.CONCAT("https://tablet.otzar.org/",CHAR(35),"/book/182065/p/-1/t/1/fs/0/start/0/end/0/c")</f>
        <v>https://tablet.otzar.org/#/book/182065/p/-1/t/1/fs/0/start/0/end/0/c</v>
      </c>
    </row>
    <row r="469" spans="1:8" x14ac:dyDescent="0.25">
      <c r="A469">
        <v>170010</v>
      </c>
      <c r="B469" t="s">
        <v>977</v>
      </c>
      <c r="C469" t="s">
        <v>978</v>
      </c>
      <c r="D469" t="s">
        <v>10</v>
      </c>
      <c r="E469" t="s">
        <v>238</v>
      </c>
      <c r="F469" t="s">
        <v>72</v>
      </c>
      <c r="G469" t="str">
        <f>HYPERLINK(_xlfn.CONCAT("https://tablet.otzar.org/",CHAR(35),"/exKotar/170010"),"שערי הלכה - 2 כרכים")</f>
        <v>שערי הלכה - 2 כרכים</v>
      </c>
      <c r="H469" t="str">
        <f>_xlfn.CONCAT("https://tablet.otzar.org/",CHAR(35),"/exKotar/170010")</f>
        <v>https://tablet.otzar.org/#/exKotar/170010</v>
      </c>
    </row>
    <row r="470" spans="1:8" x14ac:dyDescent="0.25">
      <c r="A470">
        <v>155087</v>
      </c>
      <c r="B470" t="s">
        <v>979</v>
      </c>
      <c r="C470" t="s">
        <v>329</v>
      </c>
      <c r="D470" t="s">
        <v>10</v>
      </c>
      <c r="E470" t="s">
        <v>458</v>
      </c>
      <c r="F470" t="s">
        <v>350</v>
      </c>
      <c r="G470" t="str">
        <f>HYPERLINK(_xlfn.CONCAT("https://tablet.otzar.org/",CHAR(35),"/book/155087/p/-1/t/1/fs/0/start/0/end/0/c"),"שערי זהר")</f>
        <v>שערי זהר</v>
      </c>
      <c r="H470" t="str">
        <f>_xlfn.CONCAT("https://tablet.otzar.org/",CHAR(35),"/book/155087/p/-1/t/1/fs/0/start/0/end/0/c")</f>
        <v>https://tablet.otzar.org/#/book/155087/p/-1/t/1/fs/0/start/0/end/0/c</v>
      </c>
    </row>
    <row r="471" spans="1:8" x14ac:dyDescent="0.25">
      <c r="A471">
        <v>155216</v>
      </c>
      <c r="B471" t="s">
        <v>980</v>
      </c>
      <c r="C471" t="s">
        <v>112</v>
      </c>
      <c r="D471" t="s">
        <v>10</v>
      </c>
      <c r="E471" t="s">
        <v>139</v>
      </c>
      <c r="F471" t="s">
        <v>152</v>
      </c>
      <c r="G471" t="str">
        <f>HYPERLINK(_xlfn.CONCAT("https://tablet.otzar.org/",CHAR(35),"/exKotar/155216"),"שערי שאול - 3 כרכים")</f>
        <v>שערי שאול - 3 כרכים</v>
      </c>
      <c r="H471" t="str">
        <f>_xlfn.CONCAT("https://tablet.otzar.org/",CHAR(35),"/exKotar/155216")</f>
        <v>https://tablet.otzar.org/#/exKotar/155216</v>
      </c>
    </row>
    <row r="472" spans="1:8" x14ac:dyDescent="0.25">
      <c r="A472">
        <v>638050</v>
      </c>
      <c r="B472" t="s">
        <v>981</v>
      </c>
      <c r="C472" t="s">
        <v>982</v>
      </c>
      <c r="D472" t="s">
        <v>10</v>
      </c>
      <c r="E472" t="s">
        <v>189</v>
      </c>
      <c r="F472" t="s">
        <v>31</v>
      </c>
      <c r="G472" t="str">
        <f>HYPERLINK(_xlfn.CONCAT("https://tablet.otzar.org/",CHAR(35),"/book/638050/p/-1/t/1/fs/0/start/0/end/0/c"),"שערים בהלכה")</f>
        <v>שערים בהלכה</v>
      </c>
      <c r="H472" t="str">
        <f>_xlfn.CONCAT("https://tablet.otzar.org/",CHAR(35),"/book/638050/p/-1/t/1/fs/0/start/0/end/0/c")</f>
        <v>https://tablet.otzar.org/#/book/638050/p/-1/t/1/fs/0/start/0/end/0/c</v>
      </c>
    </row>
    <row r="473" spans="1:8" x14ac:dyDescent="0.25">
      <c r="A473">
        <v>647312</v>
      </c>
      <c r="B473" t="s">
        <v>983</v>
      </c>
      <c r="C473" t="s">
        <v>319</v>
      </c>
      <c r="D473" t="s">
        <v>10</v>
      </c>
      <c r="E473" t="s">
        <v>44</v>
      </c>
      <c r="G473" t="str">
        <f>HYPERLINK(_xlfn.CONCAT("https://tablet.otzar.org/",CHAR(35),"/book/647312/p/-1/t/1/fs/0/start/0/end/0/c"),"שערים למערכת הקניינים")</f>
        <v>שערים למערכת הקניינים</v>
      </c>
      <c r="H473" t="str">
        <f>_xlfn.CONCAT("https://tablet.otzar.org/",CHAR(35),"/book/647312/p/-1/t/1/fs/0/start/0/end/0/c")</f>
        <v>https://tablet.otzar.org/#/book/647312/p/-1/t/1/fs/0/start/0/end/0/c</v>
      </c>
    </row>
    <row r="474" spans="1:8" x14ac:dyDescent="0.25">
      <c r="A474">
        <v>194445</v>
      </c>
      <c r="B474" t="s">
        <v>984</v>
      </c>
      <c r="C474" t="s">
        <v>319</v>
      </c>
      <c r="D474" t="s">
        <v>10</v>
      </c>
      <c r="E474" t="s">
        <v>57</v>
      </c>
      <c r="F474" t="s">
        <v>152</v>
      </c>
      <c r="G474" t="str">
        <f>HYPERLINK(_xlfn.CONCAT("https://tablet.otzar.org/",CHAR(35),"/book/194445/p/-1/t/1/fs/0/start/0/end/0/c"),"שערים לשערי יושר")</f>
        <v>שערים לשערי יושר</v>
      </c>
      <c r="H474" t="str">
        <f>_xlfn.CONCAT("https://tablet.otzar.org/",CHAR(35),"/book/194445/p/-1/t/1/fs/0/start/0/end/0/c")</f>
        <v>https://tablet.otzar.org/#/book/194445/p/-1/t/1/fs/0/start/0/end/0/c</v>
      </c>
    </row>
    <row r="475" spans="1:8" x14ac:dyDescent="0.25">
      <c r="A475">
        <v>647313</v>
      </c>
      <c r="B475" t="s">
        <v>985</v>
      </c>
      <c r="C475" t="s">
        <v>17</v>
      </c>
      <c r="D475" t="s">
        <v>10</v>
      </c>
      <c r="E475" t="s">
        <v>44</v>
      </c>
      <c r="G475" t="str">
        <f>HYPERLINK(_xlfn.CONCAT("https://tablet.otzar.org/",CHAR(35),"/book/647313/p/-1/t/1/fs/0/start/0/end/0/c"),"שפה ברורה &lt;מהדורת מוה""""ק&gt;")</f>
        <v>שפה ברורה &lt;מהדורת מוה""ק&gt;</v>
      </c>
      <c r="H475" t="str">
        <f>_xlfn.CONCAT("https://tablet.otzar.org/",CHAR(35),"/book/647313/p/-1/t/1/fs/0/start/0/end/0/c")</f>
        <v>https://tablet.otzar.org/#/book/647313/p/-1/t/1/fs/0/start/0/end/0/c</v>
      </c>
    </row>
    <row r="476" spans="1:8" x14ac:dyDescent="0.25">
      <c r="A476">
        <v>155355</v>
      </c>
      <c r="B476" t="s">
        <v>986</v>
      </c>
      <c r="C476" t="s">
        <v>237</v>
      </c>
      <c r="D476" t="s">
        <v>10</v>
      </c>
      <c r="E476" t="s">
        <v>628</v>
      </c>
      <c r="F476" t="s">
        <v>987</v>
      </c>
      <c r="G476" t="str">
        <f>HYPERLINK(_xlfn.CONCAT("https://tablet.otzar.org/",CHAR(35),"/exKotar/155355"),"שפתי דעת - 3 כרכים")</f>
        <v>שפתי דעת - 3 כרכים</v>
      </c>
      <c r="H476" t="str">
        <f>_xlfn.CONCAT("https://tablet.otzar.org/",CHAR(35),"/exKotar/155355")</f>
        <v>https://tablet.otzar.org/#/exKotar/155355</v>
      </c>
    </row>
    <row r="477" spans="1:8" x14ac:dyDescent="0.25">
      <c r="A477">
        <v>157337</v>
      </c>
      <c r="B477" t="s">
        <v>988</v>
      </c>
      <c r="C477" t="s">
        <v>989</v>
      </c>
      <c r="D477" t="s">
        <v>10</v>
      </c>
      <c r="E477" t="s">
        <v>15</v>
      </c>
      <c r="F477" t="s">
        <v>990</v>
      </c>
      <c r="G477" t="str">
        <f>HYPERLINK(_xlfn.CONCAT("https://tablet.otzar.org/",CHAR(35),"/book/157337/p/-1/t/1/fs/0/start/0/end/0/c"),"שקל הקודש")</f>
        <v>שקל הקודש</v>
      </c>
      <c r="H477" t="str">
        <f>_xlfn.CONCAT("https://tablet.otzar.org/",CHAR(35),"/book/157337/p/-1/t/1/fs/0/start/0/end/0/c")</f>
        <v>https://tablet.otzar.org/#/book/157337/p/-1/t/1/fs/0/start/0/end/0/c</v>
      </c>
    </row>
    <row r="478" spans="1:8" x14ac:dyDescent="0.25">
      <c r="A478">
        <v>158428</v>
      </c>
      <c r="B478" t="s">
        <v>991</v>
      </c>
      <c r="C478" t="s">
        <v>992</v>
      </c>
      <c r="D478" t="s">
        <v>10</v>
      </c>
      <c r="E478" t="s">
        <v>274</v>
      </c>
      <c r="F478" t="s">
        <v>459</v>
      </c>
      <c r="G478" t="str">
        <f>HYPERLINK(_xlfn.CONCAT("https://tablet.otzar.org/",CHAR(35),"/book/158428/p/-1/t/1/fs/0/start/0/end/0/c"),"שרגאי - ג")</f>
        <v>שרגאי - ג</v>
      </c>
      <c r="H478" t="str">
        <f>_xlfn.CONCAT("https://tablet.otzar.org/",CHAR(35),"/book/158428/p/-1/t/1/fs/0/start/0/end/0/c")</f>
        <v>https://tablet.otzar.org/#/book/158428/p/-1/t/1/fs/0/start/0/end/0/c</v>
      </c>
    </row>
    <row r="479" spans="1:8" x14ac:dyDescent="0.25">
      <c r="A479">
        <v>155152</v>
      </c>
      <c r="B479" t="s">
        <v>993</v>
      </c>
      <c r="C479" t="s">
        <v>14</v>
      </c>
      <c r="D479" t="s">
        <v>10</v>
      </c>
      <c r="E479" t="s">
        <v>994</v>
      </c>
      <c r="F479" t="s">
        <v>12</v>
      </c>
      <c r="G479" t="str">
        <f>HYPERLINK(_xlfn.CONCAT("https://tablet.otzar.org/",CHAR(35),"/exKotar/155152"),"שרי המאה - 6 כרכים")</f>
        <v>שרי המאה - 6 כרכים</v>
      </c>
      <c r="H479" t="str">
        <f>_xlfn.CONCAT("https://tablet.otzar.org/",CHAR(35),"/exKotar/155152")</f>
        <v>https://tablet.otzar.org/#/exKotar/155152</v>
      </c>
    </row>
    <row r="480" spans="1:8" x14ac:dyDescent="0.25">
      <c r="A480">
        <v>155263</v>
      </c>
      <c r="B480" t="s">
        <v>995</v>
      </c>
      <c r="C480" t="s">
        <v>996</v>
      </c>
      <c r="D480" t="s">
        <v>10</v>
      </c>
      <c r="E480" t="s">
        <v>103</v>
      </c>
      <c r="F480" t="s">
        <v>152</v>
      </c>
      <c r="G480" t="str">
        <f>HYPERLINK(_xlfn.CONCAT("https://tablet.otzar.org/",CHAR(35),"/book/155263/p/-1/t/1/fs/0/start/0/end/0/c"),"שרידים מפירוש הר""""א על תענית")</f>
        <v>שרידים מפירוש הר""א על תענית</v>
      </c>
      <c r="H480" t="str">
        <f>_xlfn.CONCAT("https://tablet.otzar.org/",CHAR(35),"/book/155263/p/-1/t/1/fs/0/start/0/end/0/c")</f>
        <v>https://tablet.otzar.org/#/book/155263/p/-1/t/1/fs/0/start/0/end/0/c</v>
      </c>
    </row>
    <row r="481" spans="1:8" x14ac:dyDescent="0.25">
      <c r="A481">
        <v>157045</v>
      </c>
      <c r="B481" t="s">
        <v>997</v>
      </c>
      <c r="C481" t="s">
        <v>998</v>
      </c>
      <c r="D481" t="s">
        <v>10</v>
      </c>
      <c r="E481" t="s">
        <v>300</v>
      </c>
      <c r="G481" t="str">
        <f>HYPERLINK(_xlfn.CONCAT("https://tablet.otzar.org/",CHAR(35),"/book/157045/p/-1/t/1/fs/0/start/0/end/0/c"),"ששה חדשים באיטליה")</f>
        <v>ששה חדשים באיטליה</v>
      </c>
      <c r="H481" t="str">
        <f>_xlfn.CONCAT("https://tablet.otzar.org/",CHAR(35),"/book/157045/p/-1/t/1/fs/0/start/0/end/0/c")</f>
        <v>https://tablet.otzar.org/#/book/157045/p/-1/t/1/fs/0/start/0/end/0/c</v>
      </c>
    </row>
    <row r="482" spans="1:8" x14ac:dyDescent="0.25">
      <c r="A482">
        <v>158977</v>
      </c>
      <c r="B482" t="s">
        <v>999</v>
      </c>
      <c r="C482" t="s">
        <v>1000</v>
      </c>
      <c r="D482" t="s">
        <v>10</v>
      </c>
      <c r="E482" t="s">
        <v>162</v>
      </c>
      <c r="F482" t="s">
        <v>1001</v>
      </c>
      <c r="G482" t="str">
        <f>HYPERLINK(_xlfn.CONCAT("https://tablet.otzar.org/",CHAR(35),"/book/158977/p/-1/t/1/fs/0/start/0/end/0/c"),"תבונה - א-ב")</f>
        <v>תבונה - א-ב</v>
      </c>
      <c r="H482" t="str">
        <f>_xlfn.CONCAT("https://tablet.otzar.org/",CHAR(35),"/book/158977/p/-1/t/1/fs/0/start/0/end/0/c")</f>
        <v>https://tablet.otzar.org/#/book/158977/p/-1/t/1/fs/0/start/0/end/0/c</v>
      </c>
    </row>
    <row r="483" spans="1:8" x14ac:dyDescent="0.25">
      <c r="A483">
        <v>622950</v>
      </c>
      <c r="B483" t="s">
        <v>1002</v>
      </c>
      <c r="C483" t="s">
        <v>202</v>
      </c>
      <c r="D483" t="s">
        <v>10</v>
      </c>
      <c r="E483" t="s">
        <v>38</v>
      </c>
      <c r="F483" t="s">
        <v>19</v>
      </c>
      <c r="G483" t="str">
        <f>HYPERLINK(_xlfn.CONCAT("https://tablet.otzar.org/",CHAR(35),"/book/622950/p/-1/t/1/fs/0/start/0/end/0/c"),"תהלים &lt;באר אברהם&gt;")</f>
        <v>תהלים &lt;באר אברהם&gt;</v>
      </c>
      <c r="H483" t="str">
        <f>_xlfn.CONCAT("https://tablet.otzar.org/",CHAR(35),"/book/622950/p/-1/t/1/fs/0/start/0/end/0/c")</f>
        <v>https://tablet.otzar.org/#/book/622950/p/-1/t/1/fs/0/start/0/end/0/c</v>
      </c>
    </row>
    <row r="484" spans="1:8" x14ac:dyDescent="0.25">
      <c r="A484">
        <v>14709</v>
      </c>
      <c r="B484" t="s">
        <v>1003</v>
      </c>
      <c r="C484" t="s">
        <v>25</v>
      </c>
      <c r="D484" t="s">
        <v>10</v>
      </c>
      <c r="E484" t="s">
        <v>436</v>
      </c>
      <c r="F484" t="s">
        <v>19</v>
      </c>
      <c r="G484" t="str">
        <f>HYPERLINK(_xlfn.CONCAT("https://tablet.otzar.org/",CHAR(35),"/book/14709/p/-1/t/1/fs/0/start/0/end/0/c"),"תהלים &lt;רש""""ר הירש&gt;")</f>
        <v>תהלים &lt;רש""ר הירש&gt;</v>
      </c>
      <c r="H484" t="str">
        <f>_xlfn.CONCAT("https://tablet.otzar.org/",CHAR(35),"/book/14709/p/-1/t/1/fs/0/start/0/end/0/c")</f>
        <v>https://tablet.otzar.org/#/book/14709/p/-1/t/1/fs/0/start/0/end/0/c</v>
      </c>
    </row>
    <row r="485" spans="1:8" x14ac:dyDescent="0.25">
      <c r="A485">
        <v>155516</v>
      </c>
      <c r="B485" t="s">
        <v>1004</v>
      </c>
      <c r="C485" t="s">
        <v>809</v>
      </c>
      <c r="D485" t="s">
        <v>10</v>
      </c>
      <c r="E485" t="s">
        <v>628</v>
      </c>
      <c r="F485" t="s">
        <v>19</v>
      </c>
      <c r="G485" t="str">
        <f>HYPERLINK(_xlfn.CONCAT("https://tablet.otzar.org/",CHAR(35),"/book/155516/p/-1/t/1/fs/0/start/0/end/0/c"),"תהלים עם הפירוש השלם לרד""""ק")</f>
        <v>תהלים עם הפירוש השלם לרד""ק</v>
      </c>
      <c r="H485" t="str">
        <f>_xlfn.CONCAT("https://tablet.otzar.org/",CHAR(35),"/book/155516/p/-1/t/1/fs/0/start/0/end/0/c")</f>
        <v>https://tablet.otzar.org/#/book/155516/p/-1/t/1/fs/0/start/0/end/0/c</v>
      </c>
    </row>
    <row r="486" spans="1:8" x14ac:dyDescent="0.25">
      <c r="A486">
        <v>155281</v>
      </c>
      <c r="B486" t="s">
        <v>1005</v>
      </c>
      <c r="C486" t="s">
        <v>14</v>
      </c>
      <c r="D486" t="s">
        <v>10</v>
      </c>
      <c r="E486" t="s">
        <v>142</v>
      </c>
      <c r="F486" t="s">
        <v>12</v>
      </c>
      <c r="G486" t="str">
        <f>HYPERLINK(_xlfn.CONCAT("https://tablet.otzar.org/",CHAR(35),"/book/155281/p/-1/t/1/fs/0/start/0/end/0/c"),"תולדות הגר""""א")</f>
        <v>תולדות הגר""א</v>
      </c>
      <c r="H486" t="str">
        <f>_xlfn.CONCAT("https://tablet.otzar.org/",CHAR(35),"/book/155281/p/-1/t/1/fs/0/start/0/end/0/c")</f>
        <v>https://tablet.otzar.org/#/book/155281/p/-1/t/1/fs/0/start/0/end/0/c</v>
      </c>
    </row>
    <row r="487" spans="1:8" x14ac:dyDescent="0.25">
      <c r="A487">
        <v>156239</v>
      </c>
      <c r="B487" t="s">
        <v>1006</v>
      </c>
      <c r="C487" t="s">
        <v>1007</v>
      </c>
      <c r="D487" t="s">
        <v>10</v>
      </c>
      <c r="E487" t="s">
        <v>89</v>
      </c>
      <c r="F487" t="s">
        <v>12</v>
      </c>
      <c r="G487" t="str">
        <f>HYPERLINK(_xlfn.CONCAT("https://tablet.otzar.org/",CHAR(35),"/book/156239/p/-1/t/1/fs/0/start/0/end/0/c"),"תולדות היהודים במצרים וסוריה - ג")</f>
        <v>תולדות היהודים במצרים וסוריה - ג</v>
      </c>
      <c r="H487" t="str">
        <f>_xlfn.CONCAT("https://tablet.otzar.org/",CHAR(35),"/book/156239/p/-1/t/1/fs/0/start/0/end/0/c")</f>
        <v>https://tablet.otzar.org/#/book/156239/p/-1/t/1/fs/0/start/0/end/0/c</v>
      </c>
    </row>
    <row r="488" spans="1:8" x14ac:dyDescent="0.25">
      <c r="A488">
        <v>155360</v>
      </c>
      <c r="B488" t="s">
        <v>1008</v>
      </c>
      <c r="C488" t="s">
        <v>1009</v>
      </c>
      <c r="D488" t="s">
        <v>10</v>
      </c>
      <c r="E488" t="s">
        <v>41</v>
      </c>
      <c r="F488" t="s">
        <v>152</v>
      </c>
      <c r="G488" t="str">
        <f>HYPERLINK(_xlfn.CONCAT("https://tablet.otzar.org/",CHAR(35),"/book/155360/p/-1/t/1/fs/0/start/0/end/0/c"),"תוספות איוורא - סוטה")</f>
        <v>תוספות איוורא - סוטה</v>
      </c>
      <c r="H488" t="str">
        <f>_xlfn.CONCAT("https://tablet.otzar.org/",CHAR(35),"/book/155360/p/-1/t/1/fs/0/start/0/end/0/c")</f>
        <v>https://tablet.otzar.org/#/book/155360/p/-1/t/1/fs/0/start/0/end/0/c</v>
      </c>
    </row>
    <row r="489" spans="1:8" x14ac:dyDescent="0.25">
      <c r="A489">
        <v>169998</v>
      </c>
      <c r="B489" t="s">
        <v>1010</v>
      </c>
      <c r="C489" t="s">
        <v>1011</v>
      </c>
      <c r="D489" t="s">
        <v>10</v>
      </c>
      <c r="E489" t="s">
        <v>238</v>
      </c>
      <c r="F489" t="s">
        <v>152</v>
      </c>
      <c r="G489" t="str">
        <f>HYPERLINK(_xlfn.CONCAT("https://tablet.otzar.org/",CHAR(35),"/exKotar/169998"),"תוספות הרא""""ש &lt;מוה""""ק&gt;  - 20 כרכים")</f>
        <v>תוספות הרא""ש &lt;מוה""ק&gt;  - 20 כרכים</v>
      </c>
      <c r="H489" t="str">
        <f>_xlfn.CONCAT("https://tablet.otzar.org/",CHAR(35),"/exKotar/169998")</f>
        <v>https://tablet.otzar.org/#/exKotar/169998</v>
      </c>
    </row>
    <row r="490" spans="1:8" x14ac:dyDescent="0.25">
      <c r="A490">
        <v>609667</v>
      </c>
      <c r="B490" t="s">
        <v>1012</v>
      </c>
      <c r="C490" t="s">
        <v>637</v>
      </c>
      <c r="D490" t="s">
        <v>10</v>
      </c>
      <c r="E490" t="s">
        <v>127</v>
      </c>
      <c r="F490" t="s">
        <v>152</v>
      </c>
      <c r="G490" t="str">
        <f>HYPERLINK(_xlfn.CONCAT("https://tablet.otzar.org/",CHAR(35),"/exKotar/609667"),"תוספות רי""""ד &lt;מוה""""ק&gt;  - 12 כרכים")</f>
        <v>תוספות רי""ד &lt;מוה""ק&gt;  - 12 כרכים</v>
      </c>
      <c r="H490" t="str">
        <f>_xlfn.CONCAT("https://tablet.otzar.org/",CHAR(35),"/exKotar/609667")</f>
        <v>https://tablet.otzar.org/#/exKotar/609667</v>
      </c>
    </row>
    <row r="491" spans="1:8" x14ac:dyDescent="0.25">
      <c r="A491">
        <v>194415</v>
      </c>
      <c r="B491" t="s">
        <v>1013</v>
      </c>
      <c r="C491" t="s">
        <v>1014</v>
      </c>
      <c r="D491" t="s">
        <v>10</v>
      </c>
      <c r="E491" t="s">
        <v>57</v>
      </c>
      <c r="F491" t="s">
        <v>31</v>
      </c>
      <c r="G491" t="str">
        <f>HYPERLINK(_xlfn.CONCAT("https://tablet.otzar.org/",CHAR(35),"/book/194415/p/-1/t/1/fs/0/start/0/end/0/c"),"תורה שבעל פה")</f>
        <v>תורה שבעל פה</v>
      </c>
      <c r="H491" t="str">
        <f>_xlfn.CONCAT("https://tablet.otzar.org/",CHAR(35),"/book/194415/p/-1/t/1/fs/0/start/0/end/0/c")</f>
        <v>https://tablet.otzar.org/#/book/194415/p/-1/t/1/fs/0/start/0/end/0/c</v>
      </c>
    </row>
    <row r="492" spans="1:8" x14ac:dyDescent="0.25">
      <c r="A492">
        <v>156328</v>
      </c>
      <c r="B492" t="s">
        <v>1015</v>
      </c>
      <c r="C492" t="s">
        <v>1016</v>
      </c>
      <c r="D492" t="s">
        <v>10</v>
      </c>
      <c r="E492" t="s">
        <v>50</v>
      </c>
      <c r="F492" t="s">
        <v>666</v>
      </c>
      <c r="G492" t="str">
        <f>HYPERLINK(_xlfn.CONCAT("https://tablet.otzar.org/",CHAR(35),"/exKotar/156328"),"תורות בית דינוב - 3 כרכים")</f>
        <v>תורות בית דינוב - 3 כרכים</v>
      </c>
      <c r="H492" t="str">
        <f>_xlfn.CONCAT("https://tablet.otzar.org/",CHAR(35),"/exKotar/156328")</f>
        <v>https://tablet.otzar.org/#/exKotar/156328</v>
      </c>
    </row>
    <row r="493" spans="1:8" x14ac:dyDescent="0.25">
      <c r="A493">
        <v>157329</v>
      </c>
      <c r="B493" t="s">
        <v>1017</v>
      </c>
      <c r="C493" t="s">
        <v>1018</v>
      </c>
      <c r="D493" t="s">
        <v>10</v>
      </c>
      <c r="E493" t="s">
        <v>157</v>
      </c>
      <c r="F493" t="s">
        <v>581</v>
      </c>
      <c r="G493" t="str">
        <f>HYPERLINK(_xlfn.CONCAT("https://tablet.otzar.org/",CHAR(35),"/book/157329/p/-1/t/1/fs/0/start/0/end/0/c"),"תורת אבן העזר")</f>
        <v>תורת אבן העזר</v>
      </c>
      <c r="H493" t="str">
        <f>_xlfn.CONCAT("https://tablet.otzar.org/",CHAR(35),"/book/157329/p/-1/t/1/fs/0/start/0/end/0/c")</f>
        <v>https://tablet.otzar.org/#/book/157329/p/-1/t/1/fs/0/start/0/end/0/c</v>
      </c>
    </row>
    <row r="494" spans="1:8" x14ac:dyDescent="0.25">
      <c r="A494">
        <v>606729</v>
      </c>
      <c r="B494" t="s">
        <v>1019</v>
      </c>
      <c r="C494" t="s">
        <v>53</v>
      </c>
      <c r="D494" t="s">
        <v>10</v>
      </c>
      <c r="E494" t="s">
        <v>83</v>
      </c>
      <c r="F494" t="s">
        <v>19</v>
      </c>
      <c r="G494" t="str">
        <f>HYPERLINK(_xlfn.CONCAT("https://tablet.otzar.org/",CHAR(35),"/book/606729/p/-1/t/1/fs/0/start/0/end/0/c"),"תורת אליהו - תנ""""ך")</f>
        <v>תורת אליהו - תנ""ך</v>
      </c>
      <c r="H494" t="str">
        <f>_xlfn.CONCAT("https://tablet.otzar.org/",CHAR(35),"/book/606729/p/-1/t/1/fs/0/start/0/end/0/c")</f>
        <v>https://tablet.otzar.org/#/book/606729/p/-1/t/1/fs/0/start/0/end/0/c</v>
      </c>
    </row>
    <row r="495" spans="1:8" x14ac:dyDescent="0.25">
      <c r="A495">
        <v>157349</v>
      </c>
      <c r="B495" t="s">
        <v>1020</v>
      </c>
      <c r="C495" t="s">
        <v>840</v>
      </c>
      <c r="D495" t="s">
        <v>10</v>
      </c>
      <c r="E495" t="s">
        <v>235</v>
      </c>
      <c r="F495" t="s">
        <v>72</v>
      </c>
      <c r="G495" t="str">
        <f>HYPERLINK(_xlfn.CONCAT("https://tablet.otzar.org/",CHAR(35),"/book/157349/p/-1/t/1/fs/0/start/0/end/0/c"),"תורת האהל")</f>
        <v>תורת האהל</v>
      </c>
      <c r="H495" t="str">
        <f>_xlfn.CONCAT("https://tablet.otzar.org/",CHAR(35),"/book/157349/p/-1/t/1/fs/0/start/0/end/0/c")</f>
        <v>https://tablet.otzar.org/#/book/157349/p/-1/t/1/fs/0/start/0/end/0/c</v>
      </c>
    </row>
    <row r="496" spans="1:8" x14ac:dyDescent="0.25">
      <c r="A496">
        <v>157389</v>
      </c>
      <c r="B496" t="s">
        <v>1021</v>
      </c>
      <c r="C496" t="s">
        <v>384</v>
      </c>
      <c r="D496" t="s">
        <v>10</v>
      </c>
      <c r="E496" t="s">
        <v>628</v>
      </c>
      <c r="F496" t="s">
        <v>72</v>
      </c>
      <c r="G496" t="str">
        <f>HYPERLINK(_xlfn.CONCAT("https://tablet.otzar.org/",CHAR(35),"/exKotar/157389"),"תורת הבית הארוך והקצר א &lt;מוה""""ק&gt; - 3 כרכים")</f>
        <v>תורת הבית הארוך והקצר א &lt;מוה""ק&gt; - 3 כרכים</v>
      </c>
      <c r="H496" t="str">
        <f>_xlfn.CONCAT("https://tablet.otzar.org/",CHAR(35),"/exKotar/157389")</f>
        <v>https://tablet.otzar.org/#/exKotar/157389</v>
      </c>
    </row>
    <row r="497" spans="1:8" x14ac:dyDescent="0.25">
      <c r="A497">
        <v>601564</v>
      </c>
      <c r="B497" t="s">
        <v>1022</v>
      </c>
      <c r="C497" t="s">
        <v>1023</v>
      </c>
      <c r="D497" t="s">
        <v>10</v>
      </c>
      <c r="E497" t="s">
        <v>127</v>
      </c>
      <c r="G497" t="str">
        <f>HYPERLINK(_xlfn.CONCAT("https://tablet.otzar.org/",CHAR(35),"/book/601564/p/-1/t/1/fs/0/start/0/end/0/c"),"תורת החטאת &lt;מוה""""ק&gt;")</f>
        <v>תורת החטאת &lt;מוה""ק&gt;</v>
      </c>
      <c r="H497" t="str">
        <f>_xlfn.CONCAT("https://tablet.otzar.org/",CHAR(35),"/book/601564/p/-1/t/1/fs/0/start/0/end/0/c")</f>
        <v>https://tablet.otzar.org/#/book/601564/p/-1/t/1/fs/0/start/0/end/0/c</v>
      </c>
    </row>
    <row r="498" spans="1:8" x14ac:dyDescent="0.25">
      <c r="A498">
        <v>143775</v>
      </c>
      <c r="B498" t="s">
        <v>1024</v>
      </c>
      <c r="C498" t="s">
        <v>105</v>
      </c>
      <c r="D498" t="s">
        <v>10</v>
      </c>
      <c r="E498" t="s">
        <v>139</v>
      </c>
      <c r="F498" t="s">
        <v>169</v>
      </c>
      <c r="G498" t="str">
        <f>HYPERLINK(_xlfn.CONCAT("https://tablet.otzar.org/",CHAR(35),"/exKotar/143775"),"תורת החסידות - 4 כרכים")</f>
        <v>תורת החסידות - 4 כרכים</v>
      </c>
      <c r="H498" t="str">
        <f>_xlfn.CONCAT("https://tablet.otzar.org/",CHAR(35),"/exKotar/143775")</f>
        <v>https://tablet.otzar.org/#/exKotar/143775</v>
      </c>
    </row>
    <row r="499" spans="1:8" x14ac:dyDescent="0.25">
      <c r="A499">
        <v>606737</v>
      </c>
      <c r="B499" t="s">
        <v>1025</v>
      </c>
      <c r="C499" t="s">
        <v>1026</v>
      </c>
      <c r="D499" t="s">
        <v>10</v>
      </c>
      <c r="E499" t="s">
        <v>83</v>
      </c>
      <c r="F499" t="s">
        <v>152</v>
      </c>
      <c r="G499" t="str">
        <f>HYPERLINK(_xlfn.CONCAT("https://tablet.otzar.org/",CHAR(35),"/exKotar/606737"),"תורת הראשונים - 7 כרכים")</f>
        <v>תורת הראשונים - 7 כרכים</v>
      </c>
      <c r="H499" t="str">
        <f>_xlfn.CONCAT("https://tablet.otzar.org/",CHAR(35),"/exKotar/606737")</f>
        <v>https://tablet.otzar.org/#/exKotar/606737</v>
      </c>
    </row>
    <row r="500" spans="1:8" x14ac:dyDescent="0.25">
      <c r="A500">
        <v>155190</v>
      </c>
      <c r="B500" t="s">
        <v>1027</v>
      </c>
      <c r="C500" t="s">
        <v>1028</v>
      </c>
      <c r="D500" t="s">
        <v>10</v>
      </c>
      <c r="E500" t="s">
        <v>78</v>
      </c>
      <c r="F500" t="s">
        <v>27</v>
      </c>
      <c r="G500" t="str">
        <f>HYPERLINK(_xlfn.CONCAT("https://tablet.otzar.org/",CHAR(35),"/book/155190/p/-1/t/1/fs/0/start/0/end/0/c"),"תורת חז""""ל תורה מן השמים")</f>
        <v>תורת חז""ל תורה מן השמים</v>
      </c>
      <c r="H500" t="str">
        <f>_xlfn.CONCAT("https://tablet.otzar.org/",CHAR(35),"/book/155190/p/-1/t/1/fs/0/start/0/end/0/c")</f>
        <v>https://tablet.otzar.org/#/book/155190/p/-1/t/1/fs/0/start/0/end/0/c</v>
      </c>
    </row>
    <row r="501" spans="1:8" x14ac:dyDescent="0.25">
      <c r="A501">
        <v>155513</v>
      </c>
      <c r="B501" t="s">
        <v>1029</v>
      </c>
      <c r="C501" t="s">
        <v>1030</v>
      </c>
      <c r="D501" t="s">
        <v>10</v>
      </c>
      <c r="E501" t="s">
        <v>216</v>
      </c>
      <c r="F501" t="s">
        <v>190</v>
      </c>
      <c r="G501" t="str">
        <f>HYPERLINK(_xlfn.CONCAT("https://tablet.otzar.org/",CHAR(35),"/exKotar/155513"),"תורת חיים - 4 כרכים")</f>
        <v>תורת חיים - 4 כרכים</v>
      </c>
      <c r="H501" t="str">
        <f>_xlfn.CONCAT("https://tablet.otzar.org/",CHAR(35),"/exKotar/155513")</f>
        <v>https://tablet.otzar.org/#/exKotar/155513</v>
      </c>
    </row>
    <row r="502" spans="1:8" x14ac:dyDescent="0.25">
      <c r="A502">
        <v>154852</v>
      </c>
      <c r="B502" t="s">
        <v>1031</v>
      </c>
      <c r="C502" t="s">
        <v>1032</v>
      </c>
      <c r="D502" t="s">
        <v>10</v>
      </c>
      <c r="E502" t="s">
        <v>235</v>
      </c>
      <c r="F502" t="s">
        <v>19</v>
      </c>
      <c r="G502" t="str">
        <f>HYPERLINK(_xlfn.CONCAT("https://tablet.otzar.org/",CHAR(35),"/exKotar/154852"),"תורת חיים &lt;חמשה חומשי תורה&gt;  - 7 כרכים")</f>
        <v>תורת חיים &lt;חמשה חומשי תורה&gt;  - 7 כרכים</v>
      </c>
      <c r="H502" t="str">
        <f>_xlfn.CONCAT("https://tablet.otzar.org/",CHAR(35),"/exKotar/154852")</f>
        <v>https://tablet.otzar.org/#/exKotar/154852</v>
      </c>
    </row>
    <row r="503" spans="1:8" x14ac:dyDescent="0.25">
      <c r="A503">
        <v>194421</v>
      </c>
      <c r="B503" t="s">
        <v>1033</v>
      </c>
      <c r="C503" t="s">
        <v>1032</v>
      </c>
      <c r="D503" t="s">
        <v>10</v>
      </c>
      <c r="E503" t="s">
        <v>57</v>
      </c>
      <c r="F503" t="s">
        <v>19</v>
      </c>
      <c r="G503" t="str">
        <f>HYPERLINK(_xlfn.CONCAT("https://tablet.otzar.org/",CHAR(35),"/exKotar/194421"),"תורת חיים &lt;נ""""ך&gt;  - 2 כרכים")</f>
        <v>תורת חיים &lt;נ""ך&gt;  - 2 כרכים</v>
      </c>
      <c r="H503" t="str">
        <f>_xlfn.CONCAT("https://tablet.otzar.org/",CHAR(35),"/exKotar/194421")</f>
        <v>https://tablet.otzar.org/#/exKotar/194421</v>
      </c>
    </row>
    <row r="504" spans="1:8" x14ac:dyDescent="0.25">
      <c r="A504">
        <v>638129</v>
      </c>
      <c r="B504" t="s">
        <v>1034</v>
      </c>
      <c r="C504" t="s">
        <v>1032</v>
      </c>
      <c r="D504" t="s">
        <v>10</v>
      </c>
      <c r="E504" t="s">
        <v>189</v>
      </c>
      <c r="F504" t="s">
        <v>19</v>
      </c>
      <c r="G504" t="str">
        <f>HYPERLINK(_xlfn.CONCAT("https://tablet.otzar.org/",CHAR(35),"/exKotar/638129"),"תורת חיים &lt;תהלים&gt;  - 3 כרכים")</f>
        <v>תורת חיים &lt;תהלים&gt;  - 3 כרכים</v>
      </c>
      <c r="H504" t="str">
        <f>_xlfn.CONCAT("https://tablet.otzar.org/",CHAR(35),"/exKotar/638129")</f>
        <v>https://tablet.otzar.org/#/exKotar/638129</v>
      </c>
    </row>
    <row r="505" spans="1:8" x14ac:dyDescent="0.25">
      <c r="A505">
        <v>603086</v>
      </c>
      <c r="B505" t="s">
        <v>1035</v>
      </c>
      <c r="C505" t="s">
        <v>840</v>
      </c>
      <c r="D505" t="s">
        <v>10</v>
      </c>
      <c r="E505" t="s">
        <v>274</v>
      </c>
      <c r="F505" t="s">
        <v>31</v>
      </c>
      <c r="G505" t="str">
        <f>HYPERLINK(_xlfn.CONCAT("https://tablet.otzar.org/",CHAR(35),"/exKotar/603086"),"תחוקה לישראל על פי התורה - 3 כרכים")</f>
        <v>תחוקה לישראל על פי התורה - 3 כרכים</v>
      </c>
      <c r="H505" t="str">
        <f>_xlfn.CONCAT("https://tablet.otzar.org/",CHAR(35),"/exKotar/603086")</f>
        <v>https://tablet.otzar.org/#/exKotar/603086</v>
      </c>
    </row>
    <row r="506" spans="1:8" x14ac:dyDescent="0.25">
      <c r="A506">
        <v>155571</v>
      </c>
      <c r="B506" t="s">
        <v>1036</v>
      </c>
      <c r="C506" t="s">
        <v>1037</v>
      </c>
      <c r="D506" t="s">
        <v>10</v>
      </c>
      <c r="E506" t="s">
        <v>274</v>
      </c>
      <c r="F506" t="s">
        <v>1038</v>
      </c>
      <c r="G506" t="str">
        <f>HYPERLINK(_xlfn.CONCAT("https://tablet.otzar.org/",CHAR(35),"/book/155571/p/-1/t/1/fs/0/start/0/end/0/c"),"תנ""""ך &lt;עפ""""י כתר ארם צובא. מהדורת ברויאר&gt;")</f>
        <v>תנ""ך &lt;עפ""י כתר ארם צובא. מהדורת ברויאר&gt;</v>
      </c>
      <c r="H506" t="str">
        <f>_xlfn.CONCAT("https://tablet.otzar.org/",CHAR(35),"/book/155571/p/-1/t/1/fs/0/start/0/end/0/c")</f>
        <v>https://tablet.otzar.org/#/book/155571/p/-1/t/1/fs/0/start/0/end/0/c</v>
      </c>
    </row>
    <row r="507" spans="1:8" x14ac:dyDescent="0.25">
      <c r="A507">
        <v>194431</v>
      </c>
      <c r="B507" t="s">
        <v>1039</v>
      </c>
      <c r="C507" t="s">
        <v>1040</v>
      </c>
      <c r="D507" t="s">
        <v>10</v>
      </c>
      <c r="E507" t="s">
        <v>57</v>
      </c>
      <c r="F507" t="s">
        <v>19</v>
      </c>
      <c r="G507" t="str">
        <f>HYPERLINK(_xlfn.CONCAT("https://tablet.otzar.org/",CHAR(35),"/book/194431/p/-1/t/1/fs/0/start/0/end/0/c"),"תנ""""ך עם פירוש דעת מקרא &lt;באנגלית&gt; - משלי")</f>
        <v>תנ""ך עם פירוש דעת מקרא &lt;באנגלית&gt; - משלי</v>
      </c>
      <c r="H507" t="str">
        <f>_xlfn.CONCAT("https://tablet.otzar.org/",CHAR(35),"/book/194431/p/-1/t/1/fs/0/start/0/end/0/c")</f>
        <v>https://tablet.otzar.org/#/book/194431/p/-1/t/1/fs/0/start/0/end/0/c</v>
      </c>
    </row>
    <row r="508" spans="1:8" x14ac:dyDescent="0.25">
      <c r="A508">
        <v>169982</v>
      </c>
      <c r="B508" t="s">
        <v>1041</v>
      </c>
      <c r="C508" t="s">
        <v>1042</v>
      </c>
      <c r="D508" t="s">
        <v>10</v>
      </c>
      <c r="E508" t="s">
        <v>238</v>
      </c>
      <c r="F508" t="s">
        <v>72</v>
      </c>
      <c r="G508" t="str">
        <f>HYPERLINK(_xlfn.CONCAT("https://tablet.otzar.org/",CHAR(35),"/book/169982/p/-1/t/1/fs/0/start/0/end/0/c"),"תניא רבתי &lt;מהדורת מוסד הרב קוק&gt;")</f>
        <v>תניא רבתי &lt;מהדורת מוסד הרב קוק&gt;</v>
      </c>
      <c r="H508" t="str">
        <f>_xlfn.CONCAT("https://tablet.otzar.org/",CHAR(35),"/book/169982/p/-1/t/1/fs/0/start/0/end/0/c")</f>
        <v>https://tablet.otzar.org/#/book/169982/p/-1/t/1/fs/0/start/0/end/0/c</v>
      </c>
    </row>
    <row r="509" spans="1:8" x14ac:dyDescent="0.25">
      <c r="A509">
        <v>647289</v>
      </c>
      <c r="B509" t="s">
        <v>1043</v>
      </c>
      <c r="C509" t="s">
        <v>1044</v>
      </c>
      <c r="D509" t="s">
        <v>10</v>
      </c>
      <c r="E509" t="s">
        <v>189</v>
      </c>
      <c r="F509" t="s">
        <v>229</v>
      </c>
      <c r="G509" t="str">
        <f>HYPERLINK(_xlfn.CONCAT("https://tablet.otzar.org/",CHAR(35),"/book/647289/p/-1/t/1/fs/0/start/0/end/0/c"),"תפלה לעני")</f>
        <v>תפלה לעני</v>
      </c>
      <c r="H509" t="str">
        <f>_xlfn.CONCAT("https://tablet.otzar.org/",CHAR(35),"/book/647289/p/-1/t/1/fs/0/start/0/end/0/c")</f>
        <v>https://tablet.otzar.org/#/book/647289/p/-1/t/1/fs/0/start/0/end/0/c</v>
      </c>
    </row>
    <row r="510" spans="1:8" x14ac:dyDescent="0.25">
      <c r="A510">
        <v>170020</v>
      </c>
      <c r="B510" t="s">
        <v>1045</v>
      </c>
      <c r="C510" t="s">
        <v>1046</v>
      </c>
      <c r="D510" t="s">
        <v>10</v>
      </c>
      <c r="E510" t="s">
        <v>238</v>
      </c>
      <c r="F510" t="s">
        <v>186</v>
      </c>
      <c r="G510" t="str">
        <f>HYPERLINK(_xlfn.CONCAT("https://tablet.otzar.org/",CHAR(35),"/book/170020/p/-1/t/1/fs/0/start/0/end/0/c"),"תקון מדות הנפש")</f>
        <v>תקון מדות הנפש</v>
      </c>
      <c r="H510" t="str">
        <f>_xlfn.CONCAT("https://tablet.otzar.org/",CHAR(35),"/book/170020/p/-1/t/1/fs/0/start/0/end/0/c")</f>
        <v>https://tablet.otzar.org/#/book/170020/p/-1/t/1/fs/0/start/0/end/0/c</v>
      </c>
    </row>
    <row r="511" spans="1:8" x14ac:dyDescent="0.25">
      <c r="A511">
        <v>155512</v>
      </c>
      <c r="B511" t="s">
        <v>1047</v>
      </c>
      <c r="C511" t="s">
        <v>329</v>
      </c>
      <c r="D511" t="s">
        <v>10</v>
      </c>
      <c r="E511" t="s">
        <v>512</v>
      </c>
      <c r="F511" t="s">
        <v>350</v>
      </c>
      <c r="G511" t="str">
        <f>HYPERLINK(_xlfn.CONCAT("https://tablet.otzar.org/",CHAR(35),"/book/155512/p/-1/t/1/fs/0/start/0/end/0/c"),"תקוני הזהר עם ניצוצי זהר")</f>
        <v>תקוני הזהר עם ניצוצי זהר</v>
      </c>
      <c r="H511" t="str">
        <f>_xlfn.CONCAT("https://tablet.otzar.org/",CHAR(35),"/book/155512/p/-1/t/1/fs/0/start/0/end/0/c")</f>
        <v>https://tablet.otzar.org/#/book/155512/p/-1/t/1/fs/0/start/0/end/0/c</v>
      </c>
    </row>
    <row r="512" spans="1:8" x14ac:dyDescent="0.25">
      <c r="A512">
        <v>156227</v>
      </c>
      <c r="B512" t="s">
        <v>1048</v>
      </c>
      <c r="C512" t="s">
        <v>1049</v>
      </c>
      <c r="D512" t="s">
        <v>10</v>
      </c>
      <c r="E512" t="s">
        <v>408</v>
      </c>
      <c r="F512" t="s">
        <v>12</v>
      </c>
      <c r="G512" t="str">
        <f>HYPERLINK(_xlfn.CONCAT("https://tablet.otzar.org/",CHAR(35),"/book/156227/p/-1/t/1/fs/0/start/0/end/0/c"),"תקופת הגאונים וספרותה")</f>
        <v>תקופת הגאונים וספרותה</v>
      </c>
      <c r="H512" t="str">
        <f>_xlfn.CONCAT("https://tablet.otzar.org/",CHAR(35),"/book/156227/p/-1/t/1/fs/0/start/0/end/0/c")</f>
        <v>https://tablet.otzar.org/#/book/156227/p/-1/t/1/fs/0/start/0/end/0/c</v>
      </c>
    </row>
    <row r="513" spans="1:8" x14ac:dyDescent="0.25">
      <c r="A513">
        <v>157375</v>
      </c>
      <c r="B513" t="s">
        <v>1050</v>
      </c>
      <c r="C513" t="s">
        <v>1051</v>
      </c>
      <c r="D513" t="s">
        <v>10</v>
      </c>
      <c r="E513" t="s">
        <v>78</v>
      </c>
      <c r="F513" t="s">
        <v>51</v>
      </c>
      <c r="G513" t="str">
        <f>HYPERLINK(_xlfn.CONCAT("https://tablet.otzar.org/",CHAR(35),"/exKotar/157375"),"תשובות הגאונים גרש ירחים - 2 כרכים")</f>
        <v>תשובות הגאונים גרש ירחים - 2 כרכים</v>
      </c>
      <c r="H513" t="str">
        <f>_xlfn.CONCAT("https://tablet.otzar.org/",CHAR(35),"/exKotar/157375")</f>
        <v>https://tablet.otzar.org/#/exKotar/157375</v>
      </c>
    </row>
    <row r="514" spans="1:8" x14ac:dyDescent="0.25">
      <c r="A514">
        <v>157352</v>
      </c>
      <c r="B514" t="s">
        <v>1052</v>
      </c>
      <c r="C514" t="s">
        <v>384</v>
      </c>
      <c r="D514" t="s">
        <v>10</v>
      </c>
      <c r="E514" t="s">
        <v>619</v>
      </c>
      <c r="F514" t="s">
        <v>51</v>
      </c>
      <c r="G514" t="str">
        <f>HYPERLINK(_xlfn.CONCAT("https://tablet.otzar.org/",CHAR(35),"/exKotar/157352"),"תשובות הרשב""""א &lt;מוה""""ק&gt;  - 4 כרכים")</f>
        <v>תשובות הרשב""א &lt;מוה""ק&gt;  - 4 כרכים</v>
      </c>
      <c r="H514" t="str">
        <f>_xlfn.CONCAT("https://tablet.otzar.org/",CHAR(35),"/exKotar/157352")</f>
        <v>https://tablet.otzar.org/#/exKotar/157352</v>
      </c>
    </row>
    <row r="515" spans="1:8" x14ac:dyDescent="0.25">
      <c r="A515">
        <v>170000</v>
      </c>
      <c r="B515" t="s">
        <v>1053</v>
      </c>
      <c r="C515" t="s">
        <v>1054</v>
      </c>
      <c r="D515" t="s">
        <v>10</v>
      </c>
      <c r="E515" t="s">
        <v>124</v>
      </c>
      <c r="F515" t="s">
        <v>51</v>
      </c>
      <c r="G515" t="str">
        <f>HYPERLINK(_xlfn.CONCAT("https://tablet.otzar.org/",CHAR(35),"/exKotar/170000"),"תשובות ופירושי רב שרירא גאון - 2 כרכים")</f>
        <v>תשובות ופירושי רב שרירא גאון - 2 כרכים</v>
      </c>
      <c r="H515" t="str">
        <f>_xlfn.CONCAT("https://tablet.otzar.org/",CHAR(35),"/exKotar/170000")</f>
        <v>https://tablet.otzar.org/#/exKotar/170000</v>
      </c>
    </row>
    <row r="516" spans="1:8" x14ac:dyDescent="0.25">
      <c r="A516">
        <v>155534</v>
      </c>
      <c r="B516" t="s">
        <v>1055</v>
      </c>
      <c r="C516" t="s">
        <v>181</v>
      </c>
      <c r="D516" t="s">
        <v>10</v>
      </c>
      <c r="E516" t="s">
        <v>504</v>
      </c>
      <c r="F516" t="s">
        <v>92</v>
      </c>
      <c r="G516" t="str">
        <f>HYPERLINK(_xlfn.CONCAT("https://tablet.otzar.org/",CHAR(35),"/book/155534/p/-1/t/1/fs/0/start/0/end/0/c"),"תשובות ופסקים לראב""""ד")</f>
        <v>תשובות ופסקים לראב""ד</v>
      </c>
      <c r="H516" t="str">
        <f>_xlfn.CONCAT("https://tablet.otzar.org/",CHAR(35),"/book/155534/p/-1/t/1/fs/0/start/0/end/0/c")</f>
        <v>https://tablet.otzar.org/#/book/155534/p/-1/t/1/fs/0/start/0/end/0/c</v>
      </c>
    </row>
    <row r="517" spans="1:8" x14ac:dyDescent="0.25">
      <c r="A517">
        <v>155268</v>
      </c>
      <c r="B517" t="s">
        <v>1056</v>
      </c>
      <c r="C517" t="s">
        <v>1057</v>
      </c>
      <c r="D517" t="s">
        <v>10</v>
      </c>
      <c r="E517" t="s">
        <v>1058</v>
      </c>
      <c r="F517" t="s">
        <v>92</v>
      </c>
      <c r="G517" t="str">
        <f>HYPERLINK(_xlfn.CONCAT("https://tablet.otzar.org/",CHAR(35),"/exKotar/155268"),"תשובות פסקים ומנהגים - 4 כרכים")</f>
        <v>תשובות פסקים ומנהגים - 4 כרכים</v>
      </c>
      <c r="H517" t="str">
        <f>_xlfn.CONCAT("https://tablet.otzar.org/",CHAR(35),"/exKotar/155268")</f>
        <v>https://tablet.otzar.org/#/exKotar/155268</v>
      </c>
    </row>
    <row r="518" spans="1:8" x14ac:dyDescent="0.25">
      <c r="A518">
        <v>10813</v>
      </c>
      <c r="B518" t="s">
        <v>1059</v>
      </c>
      <c r="C518" t="s">
        <v>1060</v>
      </c>
      <c r="D518" t="s">
        <v>10</v>
      </c>
      <c r="E518" t="s">
        <v>26</v>
      </c>
      <c r="F518" t="s">
        <v>1061</v>
      </c>
      <c r="G518" t="str">
        <f>HYPERLINK(_xlfn.CONCAT("https://tablet.otzar.org/",CHAR(35),"/book/10813/p/-1/t/1/fs/0/start/0/end/0/c"),"תשובות רב שר שלום גאון")</f>
        <v>תשובות רב שר שלום גאון</v>
      </c>
      <c r="H518" t="str">
        <f>_xlfn.CONCAT("https://tablet.otzar.org/",CHAR(35),"/book/10813/p/-1/t/1/fs/0/start/0/end/0/c")</f>
        <v>https://tablet.otzar.org/#/book/10813/p/-1/t/1/fs/0/start/0/end/0/c</v>
      </c>
    </row>
    <row r="519" spans="1:8" x14ac:dyDescent="0.25">
      <c r="A519">
        <v>155566</v>
      </c>
      <c r="B519" t="s">
        <v>1062</v>
      </c>
      <c r="C519" t="s">
        <v>40</v>
      </c>
      <c r="D519" t="s">
        <v>10</v>
      </c>
      <c r="E519" t="s">
        <v>41</v>
      </c>
      <c r="F519" t="s">
        <v>51</v>
      </c>
      <c r="G519" t="str">
        <f>HYPERLINK(_xlfn.CONCAT("https://tablet.otzar.org/",CHAR(35),"/book/155566/p/-1/t/1/fs/0/start/0/end/0/c"),"תשובות רבי מיימון")</f>
        <v>תשובות רבי מיימון</v>
      </c>
      <c r="H519" t="str">
        <f>_xlfn.CONCAT("https://tablet.otzar.org/",CHAR(35),"/book/155566/p/-1/t/1/fs/0/start/0/end/0/c")</f>
        <v>https://tablet.otzar.org/#/book/155566/p/-1/t/1/fs/0/start/0/end/0/c</v>
      </c>
    </row>
    <row r="520" spans="1:8" x14ac:dyDescent="0.25">
      <c r="A520">
        <v>12024</v>
      </c>
      <c r="B520" t="s">
        <v>1063</v>
      </c>
      <c r="C520" t="s">
        <v>382</v>
      </c>
      <c r="D520" t="s">
        <v>10</v>
      </c>
      <c r="E520" t="s">
        <v>144</v>
      </c>
      <c r="F520" t="s">
        <v>92</v>
      </c>
      <c r="G520" t="str">
        <f>HYPERLINK(_xlfn.CONCAT("https://tablet.otzar.org/",CHAR(35),"/book/12024/p/-1/t/1/fs/0/start/0/end/0/c"),"תשובות רבינו משה בן נחמן")</f>
        <v>תשובות רבינו משה בן נחמן</v>
      </c>
      <c r="H520" t="str">
        <f>_xlfn.CONCAT("https://tablet.otzar.org/",CHAR(35),"/book/12024/p/-1/t/1/fs/0/start/0/end/0/c")</f>
        <v>https://tablet.otzar.org/#/book/12024/p/-1/t/1/fs/0/start/0/end/0/c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kookBT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2025-03-26T01:52:29Z</dcterms:created>
  <dcterms:modified xsi:type="dcterms:W3CDTF">2025-03-26T01:52:29Z</dcterms:modified>
</cp:coreProperties>
</file>