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AC37D74A-D36B-465A-9179-FBF7BAA2AA63}" xr6:coauthVersionLast="47" xr6:coauthVersionMax="47" xr10:uidLastSave="{00000000-0000-0000-0000-000000000000}"/>
  <bookViews>
    <workbookView xWindow="0" yWindow="1995" windowWidth="26625" windowHeight="12405" xr2:uid="{ECC97C06-C5DA-4B6B-A8DC-71138F1F9B15}"/>
  </bookViews>
  <sheets>
    <sheet name="List of books מאגרים - מכון ירו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</calcChain>
</file>

<file path=xl/sharedStrings.xml><?xml version="1.0" encoding="utf-8"?>
<sst xmlns="http://schemas.openxmlformats.org/spreadsheetml/2006/main" count="1368" uniqueCount="611">
  <si>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</si>
  <si>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</si>
  <si>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</si>
  <si>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</si>
  <si>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</si>
  <si>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</si>
  <si>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</si>
  <si>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</si>
  <si>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אגרת רבינו חיים מוולאזין זצ"ל</t>
  </si>
  <si>
    <t>חיים בן יצחק מוולוז'ין</t>
  </si>
  <si>
    <t>ירושלים</t>
  </si>
  <si>
    <t>תשע"ב</t>
  </si>
  <si>
    <t>נושאים שונים</t>
  </si>
  <si>
    <t>אהבה בתענוגים</t>
  </si>
  <si>
    <t>אזולאי, אברהם בן מרדכי</t>
  </si>
  <si>
    <t>תשמ"ו</t>
  </si>
  <si>
    <t>משנה</t>
  </si>
  <si>
    <t>אוצר מפרשי הברכה</t>
  </si>
  <si>
    <t>מכון ירושלים</t>
  </si>
  <si>
    <t>תשפ"ב</t>
  </si>
  <si>
    <t>תפלות בקשות פיוטים ושירה</t>
  </si>
  <si>
    <t>אוצר מפרשי ההגדה</t>
  </si>
  <si>
    <t>תשס"ח</t>
  </si>
  <si>
    <t>מועדי ישראל</t>
  </si>
  <si>
    <t>אוצר מפרשי ההושענות</t>
  </si>
  <si>
    <t>תשע"ד</t>
  </si>
  <si>
    <t>מועדי ישראל, תפלות בקשות פיוטים ושירה</t>
  </si>
  <si>
    <t>אוצר מפרשי המגילה</t>
  </si>
  <si>
    <t>תש"פ</t>
  </si>
  <si>
    <t>תנ''ך</t>
  </si>
  <si>
    <t>אוצר מפרשי התורה - 6 כרכים</t>
  </si>
  <si>
    <t>תשע"ז</t>
  </si>
  <si>
    <t>אוצר מפרשי התלמוד - 19 כרכים</t>
  </si>
  <si>
    <t>תשל"א</t>
  </si>
  <si>
    <t>תלמוד בבלי</t>
  </si>
  <si>
    <t>אוצר מפרשי חנוכה</t>
  </si>
  <si>
    <t>תשע"ו</t>
  </si>
  <si>
    <t>אוצר שיטות - 2 כרכים</t>
  </si>
  <si>
    <t>פירושים מרבני שאלוניקי וקהילות תורכיה</t>
  </si>
  <si>
    <t>תשל"ט</t>
  </si>
  <si>
    <t>אור גדול השלם</t>
  </si>
  <si>
    <t>פרלמן, ירוחם יהודה ליב בן שלמה זלמן</t>
  </si>
  <si>
    <t>תשמ"ז</t>
  </si>
  <si>
    <t>שאלות ותשובות, תלמוד בבלי</t>
  </si>
  <si>
    <t>אור זרוע &lt;מכון ירושלים&gt;  - 3 כרכים</t>
  </si>
  <si>
    <t>יצחק בן משה מווינה</t>
  </si>
  <si>
    <t>תש"ע</t>
  </si>
  <si>
    <t>אור זרוע השלם &lt;מכון אור עציון&gt;  - 2 כרכים</t>
  </si>
  <si>
    <t>תשס"ו</t>
  </si>
  <si>
    <t>הלכה ומנהג</t>
  </si>
  <si>
    <t>אזהרות עם פירוש נר מצוה</t>
  </si>
  <si>
    <t>אבן גבירול, שלמה בן יהודה - פיזנטי, משה בן חיים</t>
  </si>
  <si>
    <t>נושאים שונים, תפלות בקשות פיוטים ושירה</t>
  </si>
  <si>
    <t>איסור והיתר לרש"י &lt;מהדורה חדשה&gt;</t>
  </si>
  <si>
    <t>שלמה בן יצחק (רש"י)</t>
  </si>
  <si>
    <t>תשע"ח</t>
  </si>
  <si>
    <t>אלפסי זוטא - 2 כרכים</t>
  </si>
  <si>
    <t>פאנו, מנחם עזריה בן יצחק ברכיה</t>
  </si>
  <si>
    <t>תשס"ה</t>
  </si>
  <si>
    <t>אמרי בינה &lt;דרשות&gt;</t>
  </si>
  <si>
    <t>אוירבאך, מאיר בן יצחק איציק</t>
  </si>
  <si>
    <t>תשמ"ח</t>
  </si>
  <si>
    <t>דרושים, מועדי ישראל, שלחן ערוך ומפרשיו, תולדות עם ישראל, תלמוד בבלי</t>
  </si>
  <si>
    <t>אפיקי מים - 3 כרכים</t>
  </si>
  <si>
    <t>קלמנסון, יחיאל מנחם מענדל בן יקותיאל דובער</t>
  </si>
  <si>
    <t>תשס"ד</t>
  </si>
  <si>
    <t>ארחות חיים &lt;מכון ירושלים&gt; - שבת</t>
  </si>
  <si>
    <t>אהרן בן יעקב הכהן מלוניל</t>
  </si>
  <si>
    <t>תשנ"ו</t>
  </si>
  <si>
    <t>ארחות חיים כתר ראש &lt;מכון ירושלים&gt;  - 2 כרכים</t>
  </si>
  <si>
    <t>אשכנזי, אשר בן צבי הירש הכהן</t>
  </si>
  <si>
    <t>באר אברהם</t>
  </si>
  <si>
    <t>פאסוועלער, אברהם אבלי</t>
  </si>
  <si>
    <t>תשס"ג</t>
  </si>
  <si>
    <t>דרושים, שאלות ותשובות, תלמוד בבלי</t>
  </si>
  <si>
    <t>באר יצחק - 2 כרכים</t>
  </si>
  <si>
    <t>ספקטור, יצחק אלחנן בן ישראל איסר</t>
  </si>
  <si>
    <t>תשס"א</t>
  </si>
  <si>
    <t>שאלות ותשובות</t>
  </si>
  <si>
    <t>באר משה - 2 כרכים</t>
  </si>
  <si>
    <t>ירושלימסקי, משה נחום בן בנימין</t>
  </si>
  <si>
    <t>בארות המים - 6 כרכים</t>
  </si>
  <si>
    <t>שטגר, משה מרדכי בן עקיבא אפרים</t>
  </si>
  <si>
    <t>ירושלים|ירושים</t>
  </si>
  <si>
    <t>תשנ"ד</t>
  </si>
  <si>
    <t>בה"ג - הלכות גדולות בתוספת פירושים והגהות מגאוני ישראל</t>
  </si>
  <si>
    <t>קיירא, שמעון</t>
  </si>
  <si>
    <t>תשנ"ב</t>
  </si>
  <si>
    <t>בזך לבונה</t>
  </si>
  <si>
    <t>כהן, בנימין זאב בן שמואל</t>
  </si>
  <si>
    <t>תשס"ז</t>
  </si>
  <si>
    <t>שלחן ערוך ומפרשיו</t>
  </si>
  <si>
    <t>בזך לבונה &lt;על התורה&gt;  - 2 כרכים</t>
  </si>
  <si>
    <t>ביאור לטור אורח חיים מהר"י אבוהב</t>
  </si>
  <si>
    <t>אבוהב, יצחק (השני)</t>
  </si>
  <si>
    <t>בית אברהם</t>
  </si>
  <si>
    <t>אברהם בן חנניה</t>
  </si>
  <si>
    <t>תשמ"ד</t>
  </si>
  <si>
    <t>בית אהרן - ביאורי הרמב"ם על פי המאירי</t>
  </si>
  <si>
    <t>צוקרמן, דוב בעריש</t>
  </si>
  <si>
    <t>הלכה ומנהג, תלמוד בבלי</t>
  </si>
  <si>
    <t>בית דוד &lt;מכון ירושלים&gt; - אורח חיים</t>
  </si>
  <si>
    <t>דוד, יוסף בן דוד משאלוניקי</t>
  </si>
  <si>
    <t>תשפ"א</t>
  </si>
  <si>
    <t>הלכה ומנהג, שלחן ערוך ומפרשיו</t>
  </si>
  <si>
    <t>בית דוד השלם</t>
  </si>
  <si>
    <t>לייטר, זאב וולף בן נתן נטע</t>
  </si>
  <si>
    <t>וינה</t>
  </si>
  <si>
    <t>תרצ"ב - תש"מ</t>
  </si>
  <si>
    <t>בית יוסף להבה</t>
  </si>
  <si>
    <t>דוכס, יוסף בן צבי</t>
  </si>
  <si>
    <t>בית יצחק - תורה</t>
  </si>
  <si>
    <t>שמלקס, יצחק יהודה בן חיים שמואל שמלקה</t>
  </si>
  <si>
    <t>בית מנוחה</t>
  </si>
  <si>
    <t>הורוויץ, ישראל זאב בן שמואל הלוי</t>
  </si>
  <si>
    <t>בית נדיב</t>
  </si>
  <si>
    <t>לוין, נתן</t>
  </si>
  <si>
    <t>תש"נ</t>
  </si>
  <si>
    <t>בנין אפריון</t>
  </si>
  <si>
    <t>האליס, שלמה</t>
  </si>
  <si>
    <t>בעל שם ממיכלשטאט</t>
  </si>
  <si>
    <t>וורמסר, יצחק זקל אריה ליב בן מתתיהו</t>
  </si>
  <si>
    <t>משנה, שאלות ותשובות, תלמוד בבלי</t>
  </si>
  <si>
    <t>בעל שם ממיכלשטאט (מהד"ב)</t>
  </si>
  <si>
    <t>תשע"ה</t>
  </si>
  <si>
    <t>ברך משה</t>
  </si>
  <si>
    <t>אולבסקי, נתן נטע בן ישראל</t>
  </si>
  <si>
    <t>תשנ"ח</t>
  </si>
  <si>
    <t>ברכות מהר"ם</t>
  </si>
  <si>
    <t>מאיר בן ברוך מרוטנבורג</t>
  </si>
  <si>
    <t>ברכת משה &lt;מכון ירושלים&gt;  - 2 כרכים</t>
  </si>
  <si>
    <t>תשס"ט</t>
  </si>
  <si>
    <t>גט פשוט</t>
  </si>
  <si>
    <t>אבן חביב, משה בן שלמה</t>
  </si>
  <si>
    <t>תש"מ</t>
  </si>
  <si>
    <t>גידולי ציון</t>
  </si>
  <si>
    <t>הורוויץ, יחיאל מיכל זאב בן אורי</t>
  </si>
  <si>
    <t>הלכה ומנהג, שאלות ותשובות</t>
  </si>
  <si>
    <t>גינת וורדים &lt;מכון ירושלים&gt;</t>
  </si>
  <si>
    <t>תאומים, יוסף בן מאיר</t>
  </si>
  <si>
    <t>הלכה ומנהג, נושאים שונים</t>
  </si>
  <si>
    <t>גנת ביתן</t>
  </si>
  <si>
    <t>בילצקי, תנחום גרשון בן נתן נטע ליב</t>
  </si>
  <si>
    <t>הלכה ומנהג, שאלות ותשובות, שלחן ערוך ומפרשיו, תלמוד בבלי</t>
  </si>
  <si>
    <t>דברי חכמים</t>
  </si>
  <si>
    <t>דאנציג, אברהם בן יחיאל מיכל</t>
  </si>
  <si>
    <t>תלמוד בבלי, תנ''ך</t>
  </si>
  <si>
    <t>דברי יהושע &lt;מכון ירושלים&gt;</t>
  </si>
  <si>
    <t>קלעוואן, יהושע</t>
  </si>
  <si>
    <t>תשע"א</t>
  </si>
  <si>
    <t>הלכה ומנהג, משנה, נושאים שונים, שאלות ותשובות, שלחן ערוך ומפרשיו, תלמוד בבלי, תלמוד ירושלמי</t>
  </si>
  <si>
    <t>דברי ירמיהו - 2 כרכים</t>
  </si>
  <si>
    <t>לוו, ירמיהו בן בנימין וולף</t>
  </si>
  <si>
    <t>תשנ"ז</t>
  </si>
  <si>
    <t>דרוש וחדוש רבי עקיבא איגר &lt;מכתב יד&gt;</t>
  </si>
  <si>
    <t>איגר, עקיבא בן משה</t>
  </si>
  <si>
    <t>תשנ"א</t>
  </si>
  <si>
    <t>דרכי דוד &lt;מהדורה חדשה&gt;  - 2 כרכים</t>
  </si>
  <si>
    <t>לוין, מרדכי דוד בן ברוך</t>
  </si>
  <si>
    <t>דרכי משה השלם [הארוך] - 2 כרכים</t>
  </si>
  <si>
    <t>איסרלש, משה בן ישראל (רמ"א)</t>
  </si>
  <si>
    <t>דרשות מהר"ם בנעט</t>
  </si>
  <si>
    <t>בנט, מרדכי בן אברהם ביהא</t>
  </si>
  <si>
    <t>דרושים</t>
  </si>
  <si>
    <t>דרשות רבינו יוסף מסלוצק</t>
  </si>
  <si>
    <t>פיימר, יוסף בן מאיר</t>
  </si>
  <si>
    <t>תשנ"ה</t>
  </si>
  <si>
    <t>דרושים, הלכה ומנהג, מועדי ישראל</t>
  </si>
  <si>
    <t>הגדה של פסח &lt;גאל ישראל&gt;</t>
  </si>
  <si>
    <t>דרושים, מועדי ישראל</t>
  </si>
  <si>
    <t>הלכות בכורות וחלה להרמב"ן עם הלכות יום טוב למהרי"ט אלגאזי</t>
  </si>
  <si>
    <t>משה בן נחמן (רמב"ן) - אלגאזי, יום טוב בן ישראל יעקב</t>
  </si>
  <si>
    <t>תשע"ט</t>
  </si>
  <si>
    <t>הלכות ומנהגי רבינו שלום מנוישטט</t>
  </si>
  <si>
    <t>שלום בן יצחק מנוישטט</t>
  </si>
  <si>
    <t>הקדמת הרמב"ם לפירוש המשנה עם דרך הנשר</t>
  </si>
  <si>
    <t>משה בן מימון (רמב"ם) - רוט, נחמיה שמואל בן אליהו</t>
  </si>
  <si>
    <t>הראשון לשושלת בריסק</t>
  </si>
  <si>
    <t>קרלינסקי, חיים</t>
  </si>
  <si>
    <t>תולדות עם ישראל</t>
  </si>
  <si>
    <t>הרי בשמים - ה (מכון ירושלים)</t>
  </si>
  <si>
    <t>הורוויץ, אריה ליבש בן יצחק הלוי</t>
  </si>
  <si>
    <t>השג יד</t>
  </si>
  <si>
    <t>אזולאי, חיים יוסף דוד (חיד"א)</t>
  </si>
  <si>
    <t>תשל"ז</t>
  </si>
  <si>
    <t>התשב"ץ &lt;מכון ירושלים&gt;  - 5 כרכים</t>
  </si>
  <si>
    <t>דוראן, שמעון בן צמח</t>
  </si>
  <si>
    <t>ויקח אברהם</t>
  </si>
  <si>
    <t>קורקידי, אברהם בן דוד</t>
  </si>
  <si>
    <t>אזמיר</t>
  </si>
  <si>
    <t>תרמ"ב</t>
  </si>
  <si>
    <t>זבחי צדק החדשות - ג</t>
  </si>
  <si>
    <t>סומך, עבדאללה אברהם יוסף</t>
  </si>
  <si>
    <t>תשמ"א</t>
  </si>
  <si>
    <t>זכר יהוסף &lt;מכון ירושלים&gt;  - 5 כרכים</t>
  </si>
  <si>
    <t>שטרן, יוסף זכריה בן נתן</t>
  </si>
  <si>
    <t>זכר יצחק השלם</t>
  </si>
  <si>
    <t>רבינוביץ, יצחק יעקב בן שמואל ליב</t>
  </si>
  <si>
    <t>זכרון יהודה &lt;מכון ירושלים&gt;</t>
  </si>
  <si>
    <t>יהודה בן אשר</t>
  </si>
  <si>
    <t>חידושי הגרז"ס - 2 כרכים</t>
  </si>
  <si>
    <t>כהנא-שפירא, שלמה זלמן סנדר</t>
  </si>
  <si>
    <t>תשנ"ג</t>
  </si>
  <si>
    <t>שאלות ותשובות, שלחן ערוך ומפרשיו, תלמוד בבלי</t>
  </si>
  <si>
    <t>חידושי הגרז"ר - 2 כרכים</t>
  </si>
  <si>
    <t>בנגיס, זליג ראובן בן צבי הירש</t>
  </si>
  <si>
    <t>חידושי הלכות מהר"ם חריף - שבת, פסחים, ביצה</t>
  </si>
  <si>
    <t>ברנדס (חריף), משה בן יעקב</t>
  </si>
  <si>
    <t>חידושי המהר"ם שיק - 9 כרכים</t>
  </si>
  <si>
    <t>שיק, משה בן יוסף</t>
  </si>
  <si>
    <t>חידושי הר"א על מסכת נדה</t>
  </si>
  <si>
    <t>חידושי הר"א</t>
  </si>
  <si>
    <t>חידושי הר"י בירב, תלמיד הרשב"א</t>
  </si>
  <si>
    <t>בירב, יעקב בן משה</t>
  </si>
  <si>
    <t>חידושי ופירושי המהרי"ק</t>
  </si>
  <si>
    <t>קולון, יוסף בן שלמה (מהרי"ק)</t>
  </si>
  <si>
    <t>נושאים שונים, תנ''ך</t>
  </si>
  <si>
    <t>חידושי חתם סופר ומהר"ם שיק - פסחים</t>
  </si>
  <si>
    <t>שיק, משה בן יוסף - סופר, משה בן שמואל</t>
  </si>
  <si>
    <t>חידושי יעב"ץ - מסכת פסחים וחידושי סוגיות</t>
  </si>
  <si>
    <t>אלטנקונשטאט, יעקב קופל בן צבי הירש</t>
  </si>
  <si>
    <t>חידושי מהר"י שפירא - נדה</t>
  </si>
  <si>
    <t>שפירא, יוסף יאסקי בן אליהו</t>
  </si>
  <si>
    <t>חידושי מהר"ל מפראג - 3 כרכים</t>
  </si>
  <si>
    <t>יהודה ליווא בן בצלאל (מהר"ל מפראג)</t>
  </si>
  <si>
    <t>חידושי מהר"ם בנעט - 2 כרכים</t>
  </si>
  <si>
    <t>חידושי רבי אליעזר שמחה - 2 כרכים</t>
  </si>
  <si>
    <t>רבינוביץ, אליעזר שמחה</t>
  </si>
  <si>
    <t>נושאים שונים, שלחן ערוך ומפרשיו, תנ''ך</t>
  </si>
  <si>
    <t>חידושי רבי בונים איגר זצ"ל - נשים</t>
  </si>
  <si>
    <t>גינז-איגר, שמחה בונם</t>
  </si>
  <si>
    <t>חידושי רבי יהונתן - 2 כרכים</t>
  </si>
  <si>
    <t>אייבשיץ, יהונתן בן נתן נטע</t>
  </si>
  <si>
    <t>תש"ס</t>
  </si>
  <si>
    <t>חידושי רבי ישעיה - 3 כרכים</t>
  </si>
  <si>
    <t>רייניגר, ישעיה</t>
  </si>
  <si>
    <t>חידושי רבי עזריאל - 3 כרכים</t>
  </si>
  <si>
    <t>הילדסהיימר, עזריאל בן יהודה ליב</t>
  </si>
  <si>
    <t>חידושי רבינו אליהו גוטמכר זצ"ל - 4 כרכים</t>
  </si>
  <si>
    <t>גוטמאכר, אליהו בן שלמה</t>
  </si>
  <si>
    <t>חידושי רבינו דוד - פסחים</t>
  </si>
  <si>
    <t>בונפיד, דוד בן ראובן</t>
  </si>
  <si>
    <t>חידושי רבינו יעקב מלובלין ורבינו העשיל מקראקא</t>
  </si>
  <si>
    <t>רבינו יעקב מלובלין ורבינו העשיל מקראקא</t>
  </si>
  <si>
    <t>תשמ"ט</t>
  </si>
  <si>
    <t>חידושי רבינו יצחק ב"ר אברהם מנרבונא</t>
  </si>
  <si>
    <t>יצחק בן אברהם מנארבונה</t>
  </si>
  <si>
    <t>חידושי רבינו משה קזיס - 3 כרכים</t>
  </si>
  <si>
    <t>קזיס, משה</t>
  </si>
  <si>
    <t>חיי עולם נטע</t>
  </si>
  <si>
    <t>שלחן ערוך ומפרשיו, תלמוד בבלי</t>
  </si>
  <si>
    <t>חכמי הונגריה והספרות התורנית בה</t>
  </si>
  <si>
    <t>כהן, יצחק יוסף</t>
  </si>
  <si>
    <t>נושאים שונים, תולדות עם ישראל</t>
  </si>
  <si>
    <t>חכמי טראנסילוואניה</t>
  </si>
  <si>
    <t>חמשה חומשי תורה עם פירושי רבינו יהונתן - 5 כרכים</t>
  </si>
  <si>
    <t>חשבונות של מצוה</t>
  </si>
  <si>
    <t>רבינוביץ תאומים, אליהו דוד בן בנימין (האדר"ת)</t>
  </si>
  <si>
    <t>טור שלחן ערוך השלם - 8 כרכים</t>
  </si>
  <si>
    <t>טור שלחן ערוך השלם</t>
  </si>
  <si>
    <t>יד אלימלך</t>
  </si>
  <si>
    <t>שטורמלויפר, דוד אלימלך הכהן</t>
  </si>
  <si>
    <t>יד אליעזר &lt;מכון ירושלים&gt;  - 2 כרכים</t>
  </si>
  <si>
    <t>ניצברג, אליעזר בן דוד יהודה</t>
  </si>
  <si>
    <t>יד דוד - 17 כרכים</t>
  </si>
  <si>
    <t>זינצהיים, יוסף דוד בן אברהם יצחק</t>
  </si>
  <si>
    <t>יד המלך &lt;מכון ירושלים&gt;  - 2 כרכים</t>
  </si>
  <si>
    <t>לאנדא, אלעזר בן ישראל הלוי</t>
  </si>
  <si>
    <t>יד מלאכי &lt;מכון ירושלים&gt;  - 3 כרכים</t>
  </si>
  <si>
    <t>הכהן, מלאכי בן יעקב - אברהם, דוד בן אברהם</t>
  </si>
  <si>
    <t>בני ברק</t>
  </si>
  <si>
    <t>כאיל תערוג - אפיקי מים</t>
  </si>
  <si>
    <t>באקשט, ישעיהו מרדכי בן יצחק</t>
  </si>
  <si>
    <t>תשע"ג</t>
  </si>
  <si>
    <t>מועדי ישראל, תנ''ך</t>
  </si>
  <si>
    <t>כי בא מועד</t>
  </si>
  <si>
    <t>כתבי רבינו יצחק אבוהב (דה פונסקה) - 3 כרכים</t>
  </si>
  <si>
    <t>אבוהב, יצחק (השלישי)</t>
  </si>
  <si>
    <t>כתר כהונה</t>
  </si>
  <si>
    <t>וולק, צבי הירש בן עזריאל הכהן</t>
  </si>
  <si>
    <t>נושאים שונים, תלמוד בבלי</t>
  </si>
  <si>
    <t>לבוש מרדכי &lt;מהדורה חדשה&gt;  - 5 כרכים</t>
  </si>
  <si>
    <t>אפשטיין, משה מרדכי בן צבי חיים</t>
  </si>
  <si>
    <t>לקט יושר &lt;מכון ירושלים&gt;  - 2 כרכים</t>
  </si>
  <si>
    <t>איסרלין, ישראל בן פתחיה - יוסף יוזפא בן משה אוסטרייכר</t>
  </si>
  <si>
    <t>מאורות הראשונים</t>
  </si>
  <si>
    <t>שטרן, שמואל אליעזר (עורך)</t>
  </si>
  <si>
    <t>תשס"ב</t>
  </si>
  <si>
    <t>מאורות נתן</t>
  </si>
  <si>
    <t>מאיר עיני ישראל</t>
  </si>
  <si>
    <t>תשנ"ט</t>
  </si>
  <si>
    <t>מאמר מרדכי &lt;מכון ירושלים&gt;</t>
  </si>
  <si>
    <t>פונפדר, מרדכי בן יעקב</t>
  </si>
  <si>
    <t>מבוא והוספות לספרי מהרי"ל</t>
  </si>
  <si>
    <t>פלס, ישראל מרדכי - שפיצר, שלמה יהודה הכהן</t>
  </si>
  <si>
    <t>מהר"ז בינגא</t>
  </si>
  <si>
    <t>אהרן בן נתן הלוי ציון</t>
  </si>
  <si>
    <t>תשמ"ה</t>
  </si>
  <si>
    <t>מור וקציעה &lt;מכון ירושלים&gt;</t>
  </si>
  <si>
    <t>עמדין, יעקב ישראל בן צבי</t>
  </si>
  <si>
    <t>מוריה - 5 כרכים</t>
  </si>
  <si>
    <t>ירחון תורני - מכון ירושלים</t>
  </si>
  <si>
    <t>קבצים וכתבי עת, ספרי זכרון ויובל</t>
  </si>
  <si>
    <t>מטה עז - ערכין, זבחים</t>
  </si>
  <si>
    <t>סיניגאליה, יעקב שמשון שבתי בן רפאל יששכר</t>
  </si>
  <si>
    <t>מי החג &lt;מכון ירושלים&gt;</t>
  </si>
  <si>
    <t>פישמאן, גרשון חנוך בן משה יהודה ליב</t>
  </si>
  <si>
    <t>מי טל - 26 כרכים</t>
  </si>
  <si>
    <t>מלאכת מחשבת &lt;מהדורה חדשה&gt;  - 2 כרכים</t>
  </si>
  <si>
    <t>גרינשפאן, נחמן שלמה בן יעקב משה</t>
  </si>
  <si>
    <t>הלכה ומנהג, מועדי ישראל</t>
  </si>
  <si>
    <t>מנהגות וורמייזא</t>
  </si>
  <si>
    <t>קירכום, יודא ליווא</t>
  </si>
  <si>
    <t>מנהגי אמשטרדם</t>
  </si>
  <si>
    <t>ברילמן, יהודה בן יעקב</t>
  </si>
  <si>
    <t>מנהגי מצרים</t>
  </si>
  <si>
    <t>ישראל, יום-טוב בן אליהו שיריזלי</t>
  </si>
  <si>
    <t>מנהגים</t>
  </si>
  <si>
    <t>טירנא, יצחק אייזיק</t>
  </si>
  <si>
    <t>מנהגים דק"ק וורמיישא - 2 כרכים</t>
  </si>
  <si>
    <t>שמש, יוזפא</t>
  </si>
  <si>
    <t>מנחת חינוך &lt;מכון ירושלים&gt;  - 3 כרכים</t>
  </si>
  <si>
    <t>באב"ד, יוסף</t>
  </si>
  <si>
    <t>מנחת חינוך עם בשולי המנחה - 7 כרכים</t>
  </si>
  <si>
    <t>מנחת משה - 2 כרכים</t>
  </si>
  <si>
    <t>מנחת סולת &lt;מכון ירושלים&gt;  - 3 כרכים</t>
  </si>
  <si>
    <t>זמאן, דוד טבל צבי בן אליקים גצל</t>
  </si>
  <si>
    <t>מונטריאול</t>
  </si>
  <si>
    <t>מנחת עני - 5 כרכים</t>
  </si>
  <si>
    <t>מעיני מים &lt;מקוה מים&gt;</t>
  </si>
  <si>
    <t>פאנפדער, שמעון יהודה</t>
  </si>
  <si>
    <t>מערכות דברי אמת</t>
  </si>
  <si>
    <t>יצחק בן דוד מקושטא</t>
  </si>
  <si>
    <t>מפיו אנו חיים</t>
  </si>
  <si>
    <t>אברהם, דוד בן אברהם</t>
  </si>
  <si>
    <t>מפעל מורשת יהדות הונגריה - א</t>
  </si>
  <si>
    <t>בוקסבוים, יוסף (עורך)</t>
  </si>
  <si>
    <t>מקור חיים - 2 כרכים</t>
  </si>
  <si>
    <t>בכרך, יאיר חיים בן משה שמשון</t>
  </si>
  <si>
    <t>תשמ"ב</t>
  </si>
  <si>
    <t>מר קשישא</t>
  </si>
  <si>
    <t>מרדכי השלם &lt;מהדורה חדשה&gt; - 4 כרכים</t>
  </si>
  <si>
    <t>מרדכי בן הלל</t>
  </si>
  <si>
    <t>מרדכי השלם &lt;מהדורה מורחבת&gt; - 8 כרכים</t>
  </si>
  <si>
    <t>משאת משה - קידושין</t>
  </si>
  <si>
    <t>חברוני, אברהם משה</t>
  </si>
  <si>
    <t>משאת משה &lt;מהדורה חדשה&gt;  - 4 כרכים</t>
  </si>
  <si>
    <t>משיב כהלכה</t>
  </si>
  <si>
    <t>פרנקל, אברהם זאב וולף בן בנימין</t>
  </si>
  <si>
    <t>משיבת נפש</t>
  </si>
  <si>
    <t>לוריא, יוחנן</t>
  </si>
  <si>
    <t>מועדי ישראל, נושאים שונים, תנ''ך</t>
  </si>
  <si>
    <t>משנה ברורה &lt;אור המזרח&gt;  - 4 כרכים</t>
  </si>
  <si>
    <t>כהן, ישראל מאיר בן אריה זאב - מכון ירושלים</t>
  </si>
  <si>
    <t>משנה שכיר - או"ח</t>
  </si>
  <si>
    <t>טייכטאל, יששכר שלמה בן יצחק</t>
  </si>
  <si>
    <t>מתורתו של רבי פנחס - 2 כרכים</t>
  </si>
  <si>
    <t>אפשטיין, פינחס בן ישעיהו</t>
  </si>
  <si>
    <t>מתורתן של ראשונים &lt;מכון ירושלים&gt;</t>
  </si>
  <si>
    <t>לייטר, זאב וולף בן נתן נטע - קובץ ראשונים</t>
  </si>
  <si>
    <t>נאמנו מאד - 8 כרכים</t>
  </si>
  <si>
    <t>נודע ביהודה השלם - 6 כרכים</t>
  </si>
  <si>
    <t>לאנדא, יחזקאל בן יהודה הלוי</t>
  </si>
  <si>
    <t>נחל יצחק &lt;מכון ירושלים&gt;  - 4 כרכים</t>
  </si>
  <si>
    <t>נחלי יהושע</t>
  </si>
  <si>
    <t>בוקסבוים, יהושע</t>
  </si>
  <si>
    <t>דרושים, נושאים שונים, שאלות ותשובות, תלמוד בבלי, תנ''ך</t>
  </si>
  <si>
    <t>נחלת בנימין - 2 כרכים</t>
  </si>
  <si>
    <t>לוו, בנימין וולף בן אלעזר בן אריה ליב</t>
  </si>
  <si>
    <t>נחלת יעקב - אמת ליעקב - דרשות מהר"י מליסא</t>
  </si>
  <si>
    <t>לורברבוים, יעקב בן יעקב משה</t>
  </si>
  <si>
    <t>דרושים, משנה, תלמוד בבלי, תנ''ך</t>
  </si>
  <si>
    <t>נטעי שמואל</t>
  </si>
  <si>
    <t>קובץ זכרון</t>
  </si>
  <si>
    <t>הלכה ומנהג, קבצים וכתבי עת, ספרי זכרון ויובל</t>
  </si>
  <si>
    <t>נעים זמירות - אבל השיטים</t>
  </si>
  <si>
    <t>שלמה בן משה מחלמא</t>
  </si>
  <si>
    <t>סדר הגט &lt;הארוך והקצר&gt;</t>
  </si>
  <si>
    <t>מרגלית, יעקב מרגנסבורג</t>
  </si>
  <si>
    <t>תשמ"ג</t>
  </si>
  <si>
    <t>סדר הושענות המבואר</t>
  </si>
  <si>
    <t>ליקוט מפרשים</t>
  </si>
  <si>
    <t>סדר חליצה &lt;הארוך והקצר&gt;</t>
  </si>
  <si>
    <t>סדר פרשיות - 3 כרכים</t>
  </si>
  <si>
    <t>תולדות עם ישראל, תנ''ך</t>
  </si>
  <si>
    <t>סוגיות בדיני ממונות</t>
  </si>
  <si>
    <t>כהן, מרדכי דוד</t>
  </si>
  <si>
    <t>סידור הראב"ן - עפ"י כת"י ודפו"ר</t>
  </si>
  <si>
    <t>אליעזר בן נתן (ראב"ן)</t>
  </si>
  <si>
    <t>ספיקא דרבנן &lt;מכון ירושלים&gt;</t>
  </si>
  <si>
    <t>ספר האורה &lt;מהדורת מכון ירושלים&gt;</t>
  </si>
  <si>
    <t>ספר החינוך &lt;מכון ירושלים&gt;  - 2 כרכים</t>
  </si>
  <si>
    <t>אהרן הלוי, מברצלונה (מיוחס לו)</t>
  </si>
  <si>
    <t>ספר המנהגים לרבינו אברהם קלויזנר, לרבינו אברהם חילדיק</t>
  </si>
  <si>
    <t>קלויזנר, אברהם בן חיים - חילדיק, אברהם</t>
  </si>
  <si>
    <t>ספר הנייר</t>
  </si>
  <si>
    <t>קדמונים -  אפפעל, גרשון עורך</t>
  </si>
  <si>
    <t>ספר הפרנס השלם &lt;עם ביאור רמ"ב&gt;</t>
  </si>
  <si>
    <t>משה פרנס מרוטנבורג - לוריא, משה בצלאל</t>
  </si>
  <si>
    <t>ספר התרומה &lt;מכון ירושלים&gt;  - 3 כרכים</t>
  </si>
  <si>
    <t>ברוך בן יצחק מצרפת</t>
  </si>
  <si>
    <t>ספר התרומות עם גדולי תרומה &lt;מכון ירושלים&gt;  - 2 כרכים</t>
  </si>
  <si>
    <t>שמואל בן יצחק הסרדי - פיג'ו, עזריה בן אפרים</t>
  </si>
  <si>
    <t>ספר מהרי"ל &lt;מנהגים&gt;</t>
  </si>
  <si>
    <t>יעקב בן משה הלוי (מהרי"ל)</t>
  </si>
  <si>
    <t>ספר מצוות גדול השלם (סמ"ג) - 2 כרכים</t>
  </si>
  <si>
    <t>משה בן יעקב מקוצי</t>
  </si>
  <si>
    <t>ספר תשב"ץ (תשב"ץ קטן) &lt;מהדורה חדשה&gt;</t>
  </si>
  <si>
    <t>שמשון בן צדוק</t>
  </si>
  <si>
    <t>ספרי עם פירוש כתר כהונה</t>
  </si>
  <si>
    <t>וואלק, צבי הירש הכהן</t>
  </si>
  <si>
    <t>שאר ספרי חז''ל, תנ''ך</t>
  </si>
  <si>
    <t>עדות ושטרות</t>
  </si>
  <si>
    <t>עדי זהב - 2 כרכים</t>
  </si>
  <si>
    <t>דנגור, עזרא ראובן</t>
  </si>
  <si>
    <t>עזר משפט</t>
  </si>
  <si>
    <t>גולדשמידט, אליעזר</t>
  </si>
  <si>
    <t>הלכה ומנהג, משנה, שלחן ערוך ומפרשיו</t>
  </si>
  <si>
    <t>עין יצחק &lt;מכון ירושלים&gt;  - 4 כרכים</t>
  </si>
  <si>
    <t>עליות אריה</t>
  </si>
  <si>
    <t>ברונפלד, אריה לייב</t>
  </si>
  <si>
    <t>דרושים, תלמוד בבלי</t>
  </si>
  <si>
    <t>עמודי שלמה &lt;מכון ירושלים&gt;  - 3 כרכים</t>
  </si>
  <si>
    <t>לוריא, שלמה בן יחיאל (מהרש"ל)</t>
  </si>
  <si>
    <t>עץ חיים</t>
  </si>
  <si>
    <t>חיים בן יצחק הצרפתי</t>
  </si>
  <si>
    <t>ערוגת הבושם - 2 כרכים</t>
  </si>
  <si>
    <t>בכרך, מיכאל בן שמואל זנוויל</t>
  </si>
  <si>
    <t>פאת השדה</t>
  </si>
  <si>
    <t>אקפלד, ברוך בן אהרן</t>
  </si>
  <si>
    <t>פיוט אלקי הרוחות לכל בשר</t>
  </si>
  <si>
    <t>יוסף טוב עלם</t>
  </si>
  <si>
    <t>פיסת בר - מנחות, בכורות, קנים</t>
  </si>
  <si>
    <t>משנה, תלמוד בבלי</t>
  </si>
  <si>
    <t>פירוש הרגמ"ה על מסכת כריתות</t>
  </si>
  <si>
    <t>גרשום בן יהודה (רגמ"ה)</t>
  </si>
  <si>
    <t>פירוש הרמב"ן עה"ת &lt;מכון ירושלים&gt;  - 3 כרכים</t>
  </si>
  <si>
    <t>משה בן נחמן (רמב"ן)</t>
  </si>
  <si>
    <t>פירוש הרמב"ן על התורה &lt;מכון ירושלים&gt;  - 5 כרכים</t>
  </si>
  <si>
    <t>פני לבנה</t>
  </si>
  <si>
    <t>לבוב, יהושע העשיל</t>
  </si>
  <si>
    <t>פני משה - ירושלמי זרעים</t>
  </si>
  <si>
    <t>תלמוד ירושלמי</t>
  </si>
  <si>
    <t>פני שלמה - 6 כרכים</t>
  </si>
  <si>
    <t>גאנצפריד, שלמה בן יוסף</t>
  </si>
  <si>
    <t>תשפ"ג</t>
  </si>
  <si>
    <t>פנס שלמה - נ"ך (תהלים, ישעיהו, הושע)</t>
  </si>
  <si>
    <t>פינס, שלמה זלמן בן דוב</t>
  </si>
  <si>
    <t>פנקסו של שמואל</t>
  </si>
  <si>
    <t>פסקי רבינו יחיאל מפאריש</t>
  </si>
  <si>
    <t>יחיאל בן יוסף מפאריס</t>
  </si>
  <si>
    <t>פרדס רמונים - שבת</t>
  </si>
  <si>
    <t>אביגדור, משה יצחק בן שמואל</t>
  </si>
  <si>
    <t>פרי מגדים &lt;דיני מגדים&gt; - בשר בחלב ותערובות</t>
  </si>
  <si>
    <t>תאומים, יוסף בן מאיר - שרייבר, דוד אריה לייב בן פינחס</t>
  </si>
  <si>
    <t>פרי מגדים עם פירוש מגד שמים - 2 כרכים</t>
  </si>
  <si>
    <t>תאומים, יוסף בן מאיר - שטעגר, משה מרדכי</t>
  </si>
  <si>
    <t>פרקי אבות עם פירוש הרמב"ם וקיצור אברבנאל</t>
  </si>
  <si>
    <t>הילפרין, יעקב בן אליקים (עורך)</t>
  </si>
  <si>
    <t>פרשנות</t>
  </si>
  <si>
    <t>וויינברג, יחיאל יעקב בן משה</t>
  </si>
  <si>
    <t>פתחי דין</t>
  </si>
  <si>
    <t>יפה, יוסף</t>
  </si>
  <si>
    <t>צבא רב &lt;מכון ירושלים&gt;</t>
  </si>
  <si>
    <t>לווין, צבי הירש בן אריה ליב מברלין</t>
  </si>
  <si>
    <t>צדיק באמונתו</t>
  </si>
  <si>
    <t>הרצברג, צבי אלימלך</t>
  </si>
  <si>
    <t>דרושים, מועדי ישראל, משנה, תנ''ך</t>
  </si>
  <si>
    <t>צל"ח - פסחים</t>
  </si>
  <si>
    <t>תשל"ו</t>
  </si>
  <si>
    <t>צפנת פענח על הרמב"ם &lt;מכון ירושלים&gt;  - 2 כרכים</t>
  </si>
  <si>
    <t>רוזין, יוסף בן אפרים פישל</t>
  </si>
  <si>
    <t>קהילות אוסטריה</t>
  </si>
  <si>
    <t>שפיצר, שלמה</t>
  </si>
  <si>
    <t>קהילות הונגריה</t>
  </si>
  <si>
    <t>קובץ בעניני השמיטה</t>
  </si>
  <si>
    <t>בוקסבוים, יוסף</t>
  </si>
  <si>
    <t>קובץ המועדים - 4 כרכים</t>
  </si>
  <si>
    <t>קובץ</t>
  </si>
  <si>
    <t>קונטרס ואכלת ושבעת וברכת</t>
  </si>
  <si>
    <t>הלכה ומנהג, תפלות בקשות פיוטים ושירה</t>
  </si>
  <si>
    <t>ראש יוסף &lt;מכון ירושלים&gt;  - 2 כרכים</t>
  </si>
  <si>
    <t>שאלות ותשובות רבינו חיים כפוסי</t>
  </si>
  <si>
    <t>כפוסי, חיים בן יצחק</t>
  </si>
  <si>
    <t>שבילי השלחן - 2 כרכים</t>
  </si>
  <si>
    <t>רוזדאל, יצחק שמחה</t>
  </si>
  <si>
    <t>שבילי חיים</t>
  </si>
  <si>
    <t>פינקלשטיין, חיים</t>
  </si>
  <si>
    <t>משנה, תלמוד בבלי, תנ''ך, תפלות בקשות פיוטים ושירה</t>
  </si>
  <si>
    <t>שבלי הלקט - החלק השני</t>
  </si>
  <si>
    <t>צדקיה בן אברהם הרופא</t>
  </si>
  <si>
    <t>שו"ת אור שמח - א-ב</t>
  </si>
  <si>
    <t>כהן, מאיר שמחה בן שמשון קלונימוס</t>
  </si>
  <si>
    <t>שו"ת באר מרדכי</t>
  </si>
  <si>
    <t>פארהאנד, מרדכי בן משה</t>
  </si>
  <si>
    <t>שו"ת בית ישראל</t>
  </si>
  <si>
    <t>שו"ת בית מאיר</t>
  </si>
  <si>
    <t>פוזנר, מאיר בן יהודה ליב</t>
  </si>
  <si>
    <t>שו"ת הר"י מיגאש &lt;מכון ירושלים&gt;</t>
  </si>
  <si>
    <t>אבן-מיגאש, יוסף בן מאיר הלוי</t>
  </si>
  <si>
    <t>שו"ת הרא"ש &lt;מכון ירושלים&gt;</t>
  </si>
  <si>
    <t>אשר בן יחיאל (רא"ש)</t>
  </si>
  <si>
    <t>שו"ת הרי"ף &lt;מכון ירושלים&gt;</t>
  </si>
  <si>
    <t>אלפאסי, יצחק בן יעקב (רי"ף)</t>
  </si>
  <si>
    <t>שו"ת הריב"ש &lt;מכון ירושלים&gt;  - 2 כרכים</t>
  </si>
  <si>
    <t>יצחק בן ששת ברפת (ריב"ש)</t>
  </si>
  <si>
    <t>שו"ת הרמב"ם &lt;פאר הדור&gt;</t>
  </si>
  <si>
    <t>משה בן מימון (רמב"ם)</t>
  </si>
  <si>
    <t>שו"ת הרמב"ם &lt;מהדורה חדשה&gt;  - 2 כרכים</t>
  </si>
  <si>
    <t>שו"ת הרשב"א &lt;מכון ירושלים&gt;  - 8 כרכים</t>
  </si>
  <si>
    <t>בן אדרת, שלמה בן אברהם (רשב"א)</t>
  </si>
  <si>
    <t>שו"ת הרשב"ש &lt;מכון ירושלים&gt;</t>
  </si>
  <si>
    <t>דוראן, שלמה בן שמעון</t>
  </si>
  <si>
    <t>שו"ת וחידושי רבינו בצלאל רנשבורג</t>
  </si>
  <si>
    <t>רנשבורג, בצלאל בן יואל</t>
  </si>
  <si>
    <t>שו"ת וחידושי רבינו מאיר פישלס</t>
  </si>
  <si>
    <t>פישלס, מאיר</t>
  </si>
  <si>
    <t>הלכה ומנהג, שאלות ותשובות, שלחן ערוך ומפרשיו</t>
  </si>
  <si>
    <t>שו"ת ופסקי מהרי"ק החדשים</t>
  </si>
  <si>
    <t>שו"ת ופסקים לרבינו יהודה אבן עטר זצ"ל</t>
  </si>
  <si>
    <t>בן עטר, יהודה</t>
  </si>
  <si>
    <t>שו"ת יפה נוף</t>
  </si>
  <si>
    <t>מזיא, יצחק בן אליעזר</t>
  </si>
  <si>
    <t>שו"ת מגן שאול</t>
  </si>
  <si>
    <t>קצנלבוגן, שאול</t>
  </si>
  <si>
    <t>שו"ת מהר"י ווייל &lt;מכון ירושלים&gt;</t>
  </si>
  <si>
    <t>ווייל, יעקב בן יהודה</t>
  </si>
  <si>
    <t>שו"ת מהר"ם מינץ &lt;מכון ירושלים&gt; - 2 כרכים</t>
  </si>
  <si>
    <t>מינץ, משה בן יצחק הלוי</t>
  </si>
  <si>
    <t>שו"ת מהר"ם מרוטנבורג &lt;מכון ירושלים&gt;  - 3 כרכים</t>
  </si>
  <si>
    <t>שו"ת מהרי"ט צהלון החדשות - 2 כרכים</t>
  </si>
  <si>
    <t>צהלון, יום טוב בן משה (מהריט"ץ)</t>
  </si>
  <si>
    <t>שו"ת מהרי"ל</t>
  </si>
  <si>
    <t>שו"ת מהרי"ל החדשות</t>
  </si>
  <si>
    <t>שו"ת משיב דבר</t>
  </si>
  <si>
    <t>פליישמאן, יעקב חיים בן דוד</t>
  </si>
  <si>
    <t>שו"ת נחמת שלמה</t>
  </si>
  <si>
    <t>כהנא, שלמה דוד</t>
  </si>
  <si>
    <t>שו"ת פאר אהרן</t>
  </si>
  <si>
    <t>פרסבורגר, אהרן</t>
  </si>
  <si>
    <t>שו"ת רבי נחום טרייביטש</t>
  </si>
  <si>
    <t>טריביטש, (מנחם) נחום בן זליג</t>
  </si>
  <si>
    <t>הלכה ומנהג, שאלות ותשובות, תלמוד בבלי</t>
  </si>
  <si>
    <t>שו"ת רבינו אליעזר בן ארחא זצ"ל</t>
  </si>
  <si>
    <t>ארחא, אליעזר בן יצחק</t>
  </si>
  <si>
    <t>תשל"ח</t>
  </si>
  <si>
    <t>שו"ת רבינו יוסף מסלוצק</t>
  </si>
  <si>
    <t>שו"ת רבינו יצחק הגדול מפוזנא זצ"ל</t>
  </si>
  <si>
    <t>יצחק בן אברהם מפוזנה</t>
  </si>
  <si>
    <t>שו"ת רבינו מאיר גאויזון זצ"ל - 2 כרכים</t>
  </si>
  <si>
    <t>גאויזון, מאיר</t>
  </si>
  <si>
    <t>שו"ת רבנו יצחק אלגאזי</t>
  </si>
  <si>
    <t>אלגאזי, יצחק</t>
  </si>
  <si>
    <t>שו"ת רבנו משה פרובינצאלו - 2 כרכים</t>
  </si>
  <si>
    <t>פרובנצאלו, משה</t>
  </si>
  <si>
    <t>שואל ומשיב &lt;מהדורה חדשה&gt;  - 5 כרכים</t>
  </si>
  <si>
    <t>נתנזון, יוסף שאול בן אריה ליבוש הלוי</t>
  </si>
  <si>
    <t>שיח יצחק - 2 כרכים</t>
  </si>
  <si>
    <t>ווייס, יצחק בן ישעיהו יששכר בר</t>
  </si>
  <si>
    <t>ווייס, יצחק</t>
  </si>
  <si>
    <t>דרושים, מועדי ישראל, משנה, תנ''ך, תפלות בקשות פיוטים ושירה</t>
  </si>
  <si>
    <t>שיח יצחק - חגיגה</t>
  </si>
  <si>
    <t>נוניס-ואיס, יצחק יוסף בן יעקב</t>
  </si>
  <si>
    <t>הלכה ומנהג, תלמוד בבלי, תפלות בקשות פיוטים ושירה</t>
  </si>
  <si>
    <t>שיח יצחק &lt;מהדורה חדשה&gt; - יומא</t>
  </si>
  <si>
    <t>שלום ירושלים - ירושלמי זרעים</t>
  </si>
  <si>
    <t>שלחן מלכים - 2 כרכים</t>
  </si>
  <si>
    <t>בואינו, יצחק</t>
  </si>
  <si>
    <t>שלחן ערוך על שלחן ערוך אבן העזר - א</t>
  </si>
  <si>
    <t>שלחן תמיד - 2 כרכים</t>
  </si>
  <si>
    <t>שלטי הגבורים &lt;מכון ירושלים&gt;</t>
  </si>
  <si>
    <t>שער אריה, אברהם בן דוד</t>
  </si>
  <si>
    <t>שלל דוד</t>
  </si>
  <si>
    <t>דרושים, מועדי ישראל, תנ''ך</t>
  </si>
  <si>
    <t>שם משמעון השלם</t>
  </si>
  <si>
    <t>פולאק, שמעון בן משה יהודה</t>
  </si>
  <si>
    <t>שמחת החג &lt;מכון ירושלים&gt;</t>
  </si>
  <si>
    <t>שנות חיים</t>
  </si>
  <si>
    <t>קליין, ראובן חיים</t>
  </si>
  <si>
    <t>שער המלך &lt;מכון ירושלים&gt;  - 2 כרכים</t>
  </si>
  <si>
    <t>נוניס-בילמונטי, יצחק בן משה</t>
  </si>
  <si>
    <t>שער יהושע - 2 כרכים</t>
  </si>
  <si>
    <t>בנבנישתי, יהושע רפאל בן ישראל</t>
  </si>
  <si>
    <t>שערי אפרים &lt;מכון ירושלים&gt;</t>
  </si>
  <si>
    <t>מרגליות, אפרים זלמן בן מנחם מאנוש</t>
  </si>
  <si>
    <t>שערי ישועה</t>
  </si>
  <si>
    <t>זיין, ישועה בן אברהם שבאבו</t>
  </si>
  <si>
    <t>הלכה ומנהג, תנ''ך</t>
  </si>
  <si>
    <t>שערי תורה &lt;מכון ירושלים&gt;  - 12 כרכים</t>
  </si>
  <si>
    <t>תולדות יעקב &lt;מכון ירושלים&gt;</t>
  </si>
  <si>
    <t>יעקב אריה בן מרדכי</t>
  </si>
  <si>
    <t>לבוב</t>
  </si>
  <si>
    <t>תרכ"ב</t>
  </si>
  <si>
    <t>תולדות רבינו יצחק אלחנן ספקטור זצ"ל</t>
  </si>
  <si>
    <t>שטרן, אליעזר</t>
  </si>
  <si>
    <t>תוספות חכמי אנגליה - 3 כרכים</t>
  </si>
  <si>
    <t>תוספות חכמי אנגליה</t>
  </si>
  <si>
    <t>תוספות טוך - 2 כרכים</t>
  </si>
  <si>
    <t>אליעזר בן שלמה מטוך</t>
  </si>
  <si>
    <t>תורת גיטין &lt;מכון ירושלים&gt;</t>
  </si>
  <si>
    <t>תורת חיים &lt;חידושי הגר"י וינוגרד&gt; - קדשים</t>
  </si>
  <si>
    <t>וינוגרד, יצחק</t>
  </si>
  <si>
    <t>תורת חסד &lt;מכון ירושלים&gt;  - 3 כרכים</t>
  </si>
  <si>
    <t>פראדקין, שניאור זלמן בן שלמה</t>
  </si>
  <si>
    <t>תרומת הכרי</t>
  </si>
  <si>
    <t>הלר, יהודה בן יוסף הכהן</t>
  </si>
  <si>
    <t>תשובות ופסקי מהרי"ט החדשים</t>
  </si>
  <si>
    <t>טראני, יוסף בן משה (מהרי"ט)</t>
  </si>
  <si>
    <t>הלכה ומנהג, נושאים שונים, שאלות ותשובות</t>
  </si>
  <si>
    <t>תשובות רבינו חיים מוולוז'ין</t>
  </si>
  <si>
    <t>תשובות רבינו יצחק אלחנן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</si>
</sst>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D685E-3601-415D-B505-DC56ECAA3508}">
  <dimension ref="A1:H275"/>
  <sheetViews>
    <sheetView tabSelected="1" workbookViewId="0">
      <selection activeCell="D8" sqref="D8"/>
    </sheetView>
  </sheetViews>
  <sheetFormatPr defaultRowHeight="15" x14ac:dyDescent="0.25"/>
  <cols>
    <col min="1" max="1" width="9.5703125" bestFit="1" customWidth="1"/>
    <col min="2" max="2" width="51.140625" bestFit="1" customWidth="1"/>
    <col min="3" max="3" width="45.140625" bestFit="1" customWidth="1"/>
    <col min="4" max="4" width="13.140625" bestFit="1" customWidth="1"/>
    <col min="5" max="5" width="12.5703125" bestFit="1" customWidth="1"/>
    <col min="6" max="6" width="80.7109375" bestFit="1" customWidth="1"/>
    <col min="7" max="7" width="52.8554687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169554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HYPERLINK(_xlfn.CONCAT("https://tablet.otzar.org/",CHAR(35),"/book/169554/p/-1/t/1/fs/0/start/0/end/0/c"),"אגרת רבינו חיים מוולאזין זצ""""ל")</f>
        <v>אגרת רבינו חיים מוולאזין זצ""ל</v>
      </c>
      <c r="H2" t="str">
        <f>_xlfn.CONCAT("https://tablet.otzar.org/",CHAR(35),"/book/169554/p/-1/t/1/fs/0/start/0/end/0/c")</f>
        <v>https://tablet.otzar.org/#/book/169554/p/-1/t/1/fs/0/start/0/end/0/c</v>
      </c>
    </row>
    <row r="3" spans="1:8" x14ac:dyDescent="0.25">
      <c r="A3">
        <v>147034</v>
      </c>
      <c r="B3" t="s">
        <v>13</v>
      </c>
      <c r="C3" t="s">
        <v>14</v>
      </c>
      <c r="D3" t="s">
        <v>10</v>
      </c>
      <c r="E3" t="s">
        <v>15</v>
      </c>
      <c r="F3" t="s">
        <v>16</v>
      </c>
      <c r="G3" t="str">
        <f>HYPERLINK(_xlfn.CONCAT("https://tablet.otzar.org/",CHAR(35),"/book/147034/p/-1/t/1/fs/0/start/0/end/0/c"),"אהבה בתענוגים")</f>
        <v>אהבה בתענוגים</v>
      </c>
      <c r="H3" t="str">
        <f>_xlfn.CONCAT("https://tablet.otzar.org/",CHAR(35),"/book/147034/p/-1/t/1/fs/0/start/0/end/0/c")</f>
        <v>https://tablet.otzar.org/#/book/147034/p/-1/t/1/fs/0/start/0/end/0/c</v>
      </c>
    </row>
    <row r="4" spans="1:8" x14ac:dyDescent="0.25">
      <c r="A4">
        <v>678563</v>
      </c>
      <c r="B4" t="s">
        <v>17</v>
      </c>
      <c r="C4" t="s">
        <v>18</v>
      </c>
      <c r="D4" t="s">
        <v>10</v>
      </c>
      <c r="E4" t="s">
        <v>19</v>
      </c>
      <c r="F4" t="s">
        <v>20</v>
      </c>
      <c r="G4" t="str">
        <f>HYPERLINK(_xlfn.CONCAT("https://tablet.otzar.org/",CHAR(35),"/book/678563/p/-1/t/1/fs/0/start/0/end/0/c"),"אוצר מפרשי הברכה")</f>
        <v>אוצר מפרשי הברכה</v>
      </c>
      <c r="H4" t="str">
        <f>_xlfn.CONCAT("https://tablet.otzar.org/",CHAR(35),"/book/678563/p/-1/t/1/fs/0/start/0/end/0/c")</f>
        <v>https://tablet.otzar.org/#/book/678563/p/-1/t/1/fs/0/start/0/end/0/c</v>
      </c>
    </row>
    <row r="5" spans="1:8" x14ac:dyDescent="0.25">
      <c r="A5">
        <v>157081</v>
      </c>
      <c r="B5" t="s">
        <v>21</v>
      </c>
      <c r="C5" t="s">
        <v>18</v>
      </c>
      <c r="D5" t="s">
        <v>10</v>
      </c>
      <c r="E5" t="s">
        <v>22</v>
      </c>
      <c r="F5" t="s">
        <v>23</v>
      </c>
      <c r="G5" t="str">
        <f>HYPERLINK(_xlfn.CONCAT("https://tablet.otzar.org/",CHAR(35),"/book/157081/p/-1/t/1/fs/0/start/0/end/0/c"),"אוצר מפרשי ההגדה")</f>
        <v>אוצר מפרשי ההגדה</v>
      </c>
      <c r="H5" t="str">
        <f>_xlfn.CONCAT("https://tablet.otzar.org/",CHAR(35),"/book/157081/p/-1/t/1/fs/0/start/0/end/0/c")</f>
        <v>https://tablet.otzar.org/#/book/157081/p/-1/t/1/fs/0/start/0/end/0/c</v>
      </c>
    </row>
    <row r="6" spans="1:8" x14ac:dyDescent="0.25">
      <c r="A6">
        <v>193710</v>
      </c>
      <c r="B6" t="s">
        <v>24</v>
      </c>
      <c r="C6" t="s">
        <v>18</v>
      </c>
      <c r="D6" t="s">
        <v>10</v>
      </c>
      <c r="E6" t="s">
        <v>25</v>
      </c>
      <c r="F6" t="s">
        <v>26</v>
      </c>
      <c r="G6" t="str">
        <f>HYPERLINK(_xlfn.CONCAT("https://tablet.otzar.org/",CHAR(35),"/book/193710/p/-1/t/1/fs/0/start/0/end/0/c"),"אוצר מפרשי ההושענות")</f>
        <v>אוצר מפרשי ההושענות</v>
      </c>
      <c r="H6" t="str">
        <f>_xlfn.CONCAT("https://tablet.otzar.org/",CHAR(35),"/book/193710/p/-1/t/1/fs/0/start/0/end/0/c")</f>
        <v>https://tablet.otzar.org/#/book/193710/p/-1/t/1/fs/0/start/0/end/0/c</v>
      </c>
    </row>
    <row r="7" spans="1:8" x14ac:dyDescent="0.25">
      <c r="A7">
        <v>647032</v>
      </c>
      <c r="B7" t="s">
        <v>27</v>
      </c>
      <c r="C7" t="s">
        <v>18</v>
      </c>
      <c r="D7" t="s">
        <v>10</v>
      </c>
      <c r="E7" t="s">
        <v>28</v>
      </c>
      <c r="F7" t="s">
        <v>29</v>
      </c>
      <c r="G7" t="str">
        <f>HYPERLINK(_xlfn.CONCAT("https://tablet.otzar.org/",CHAR(35),"/book/647032/p/-1/t/1/fs/0/start/0/end/0/c"),"אוצר מפרשי המגילה")</f>
        <v>אוצר מפרשי המגילה</v>
      </c>
      <c r="H7" t="str">
        <f>_xlfn.CONCAT("https://tablet.otzar.org/",CHAR(35),"/book/647032/p/-1/t/1/fs/0/start/0/end/0/c")</f>
        <v>https://tablet.otzar.org/#/book/647032/p/-1/t/1/fs/0/start/0/end/0/c</v>
      </c>
    </row>
    <row r="8" spans="1:8" x14ac:dyDescent="0.25">
      <c r="A8">
        <v>622077</v>
      </c>
      <c r="B8" t="s">
        <v>30</v>
      </c>
      <c r="C8" t="s">
        <v>18</v>
      </c>
      <c r="D8" t="s">
        <v>10</v>
      </c>
      <c r="E8" t="s">
        <v>31</v>
      </c>
      <c r="F8" t="s">
        <v>29</v>
      </c>
      <c r="G8" t="str">
        <f>HYPERLINK(_xlfn.CONCAT("https://tablet.otzar.org/",CHAR(35),"/exKotar/622077"),"אוצר מפרשי התורה - 6 כרכים")</f>
        <v>אוצר מפרשי התורה - 6 כרכים</v>
      </c>
      <c r="H8" t="str">
        <f>_xlfn.CONCAT("https://tablet.otzar.org/",CHAR(35),"/exKotar/622077")</f>
        <v>https://tablet.otzar.org/#/exKotar/622077</v>
      </c>
    </row>
    <row r="9" spans="1:8" x14ac:dyDescent="0.25">
      <c r="A9">
        <v>164705</v>
      </c>
      <c r="B9" t="s">
        <v>32</v>
      </c>
      <c r="C9" t="s">
        <v>18</v>
      </c>
      <c r="D9" t="s">
        <v>10</v>
      </c>
      <c r="E9" t="s">
        <v>33</v>
      </c>
      <c r="F9" t="s">
        <v>34</v>
      </c>
      <c r="G9" t="str">
        <f>HYPERLINK(_xlfn.CONCAT("https://tablet.otzar.org/",CHAR(35),"/exKotar/164705"),"אוצר מפרשי התלמוד - 19 כרכים")</f>
        <v>אוצר מפרשי התלמוד - 19 כרכים</v>
      </c>
      <c r="H9" t="str">
        <f>_xlfn.CONCAT("https://tablet.otzar.org/",CHAR(35),"/exKotar/164705")</f>
        <v>https://tablet.otzar.org/#/exKotar/164705</v>
      </c>
    </row>
    <row r="10" spans="1:8" x14ac:dyDescent="0.25">
      <c r="A10">
        <v>610232</v>
      </c>
      <c r="B10" t="s">
        <v>35</v>
      </c>
      <c r="C10" t="s">
        <v>18</v>
      </c>
      <c r="D10" t="s">
        <v>10</v>
      </c>
      <c r="E10" t="s">
        <v>36</v>
      </c>
      <c r="F10" t="s">
        <v>23</v>
      </c>
      <c r="G10" t="str">
        <f>HYPERLINK(_xlfn.CONCAT("https://tablet.otzar.org/",CHAR(35),"/book/610232/p/-1/t/1/fs/0/start/0/end/0/c"),"אוצר מפרשי חנוכה")</f>
        <v>אוצר מפרשי חנוכה</v>
      </c>
      <c r="H10" t="str">
        <f>_xlfn.CONCAT("https://tablet.otzar.org/",CHAR(35),"/book/610232/p/-1/t/1/fs/0/start/0/end/0/c")</f>
        <v>https://tablet.otzar.org/#/book/610232/p/-1/t/1/fs/0/start/0/end/0/c</v>
      </c>
    </row>
    <row r="11" spans="1:8" x14ac:dyDescent="0.25">
      <c r="A11">
        <v>146641</v>
      </c>
      <c r="B11" t="s">
        <v>37</v>
      </c>
      <c r="C11" t="s">
        <v>38</v>
      </c>
      <c r="D11" t="s">
        <v>10</v>
      </c>
      <c r="E11" t="s">
        <v>39</v>
      </c>
      <c r="F11" t="s">
        <v>34</v>
      </c>
      <c r="G11" t="str">
        <f>HYPERLINK(_xlfn.CONCAT("https://tablet.otzar.org/",CHAR(35),"/exKotar/146641"),"אוצר שיטות - 2 כרכים")</f>
        <v>אוצר שיטות - 2 כרכים</v>
      </c>
      <c r="H11" t="str">
        <f>_xlfn.CONCAT("https://tablet.otzar.org/",CHAR(35),"/exKotar/146641")</f>
        <v>https://tablet.otzar.org/#/exKotar/146641</v>
      </c>
    </row>
    <row r="12" spans="1:8" x14ac:dyDescent="0.25">
      <c r="A12">
        <v>146759</v>
      </c>
      <c r="B12" t="s">
        <v>40</v>
      </c>
      <c r="C12" t="s">
        <v>41</v>
      </c>
      <c r="D12" t="s">
        <v>10</v>
      </c>
      <c r="E12" t="s">
        <v>42</v>
      </c>
      <c r="F12" t="s">
        <v>43</v>
      </c>
      <c r="G12" t="str">
        <f>HYPERLINK(_xlfn.CONCAT("https://tablet.otzar.org/",CHAR(35),"/book/146759/p/-1/t/1/fs/0/start/0/end/0/c"),"אור גדול השלם")</f>
        <v>אור גדול השלם</v>
      </c>
      <c r="H12" t="str">
        <f>_xlfn.CONCAT("https://tablet.otzar.org/",CHAR(35),"/book/146759/p/-1/t/1/fs/0/start/0/end/0/c")</f>
        <v>https://tablet.otzar.org/#/book/146759/p/-1/t/1/fs/0/start/0/end/0/c</v>
      </c>
    </row>
    <row r="13" spans="1:8" x14ac:dyDescent="0.25">
      <c r="A13">
        <v>164152</v>
      </c>
      <c r="B13" t="s">
        <v>44</v>
      </c>
      <c r="C13" t="s">
        <v>45</v>
      </c>
      <c r="D13" t="s">
        <v>10</v>
      </c>
      <c r="E13" t="s">
        <v>46</v>
      </c>
      <c r="F13" t="s">
        <v>16</v>
      </c>
      <c r="G13" t="str">
        <f>HYPERLINK(_xlfn.CONCAT("https://tablet.otzar.org/",CHAR(35),"/exKotar/164152"),"אור זרוע &lt;מכון ירושלים&gt;  - 3 כרכים")</f>
        <v>אור זרוע &lt;מכון ירושלים&gt;  - 3 כרכים</v>
      </c>
      <c r="H13" t="str">
        <f>_xlfn.CONCAT("https://tablet.otzar.org/",CHAR(35),"/exKotar/164152")</f>
        <v>https://tablet.otzar.org/#/exKotar/164152</v>
      </c>
    </row>
    <row r="14" spans="1:8" x14ac:dyDescent="0.25">
      <c r="A14">
        <v>147473</v>
      </c>
      <c r="B14" t="s">
        <v>47</v>
      </c>
      <c r="C14" t="s">
        <v>45</v>
      </c>
      <c r="D14" t="s">
        <v>10</v>
      </c>
      <c r="E14" t="s">
        <v>48</v>
      </c>
      <c r="F14" t="s">
        <v>49</v>
      </c>
      <c r="G14" t="str">
        <f>HYPERLINK(_xlfn.CONCAT("https://tablet.otzar.org/",CHAR(35),"/exKotar/147473"),"אור זרוע השלם &lt;מכון אור עציון&gt;  - 2 כרכים")</f>
        <v>אור זרוע השלם &lt;מכון אור עציון&gt;  - 2 כרכים</v>
      </c>
      <c r="H14" t="str">
        <f>_xlfn.CONCAT("https://tablet.otzar.org/",CHAR(35),"/exKotar/147473")</f>
        <v>https://tablet.otzar.org/#/exKotar/147473</v>
      </c>
    </row>
    <row r="15" spans="1:8" x14ac:dyDescent="0.25">
      <c r="A15">
        <v>164148</v>
      </c>
      <c r="B15" t="s">
        <v>50</v>
      </c>
      <c r="C15" t="s">
        <v>51</v>
      </c>
      <c r="D15" t="s">
        <v>10</v>
      </c>
      <c r="E15" t="s">
        <v>46</v>
      </c>
      <c r="F15" t="s">
        <v>52</v>
      </c>
      <c r="G15" t="str">
        <f>HYPERLINK(_xlfn.CONCAT("https://tablet.otzar.org/",CHAR(35),"/book/164148/p/-1/t/1/fs/0/start/0/end/0/c"),"אזהרות עם פירוש נר מצוה")</f>
        <v>אזהרות עם פירוש נר מצוה</v>
      </c>
      <c r="H15" t="str">
        <f>_xlfn.CONCAT("https://tablet.otzar.org/",CHAR(35),"/book/164148/p/-1/t/1/fs/0/start/0/end/0/c")</f>
        <v>https://tablet.otzar.org/#/book/164148/p/-1/t/1/fs/0/start/0/end/0/c</v>
      </c>
    </row>
    <row r="16" spans="1:8" x14ac:dyDescent="0.25">
      <c r="A16">
        <v>637115</v>
      </c>
      <c r="B16" t="s">
        <v>53</v>
      </c>
      <c r="C16" t="s">
        <v>54</v>
      </c>
      <c r="D16" t="s">
        <v>10</v>
      </c>
      <c r="E16" t="s">
        <v>55</v>
      </c>
      <c r="F16" t="s">
        <v>49</v>
      </c>
      <c r="G16" t="str">
        <f>HYPERLINK(_xlfn.CONCAT("https://tablet.otzar.org/",CHAR(35),"/book/637115/p/-1/t/1/fs/0/start/0/end/0/c"),"איסור והיתר לרש""""י &lt;מהדורה חדשה&gt;")</f>
        <v>איסור והיתר לרש""י &lt;מהדורה חדשה&gt;</v>
      </c>
      <c r="H16" t="str">
        <f>_xlfn.CONCAT("https://tablet.otzar.org/",CHAR(35),"/book/637115/p/-1/t/1/fs/0/start/0/end/0/c")</f>
        <v>https://tablet.otzar.org/#/book/637115/p/-1/t/1/fs/0/start/0/end/0/c</v>
      </c>
    </row>
    <row r="17" spans="1:8" x14ac:dyDescent="0.25">
      <c r="A17">
        <v>147653</v>
      </c>
      <c r="B17" t="s">
        <v>56</v>
      </c>
      <c r="C17" t="s">
        <v>57</v>
      </c>
      <c r="D17" t="s">
        <v>10</v>
      </c>
      <c r="E17" t="s">
        <v>58</v>
      </c>
      <c r="F17" t="s">
        <v>34</v>
      </c>
      <c r="G17" t="str">
        <f>HYPERLINK(_xlfn.CONCAT("https://tablet.otzar.org/",CHAR(35),"/exKotar/147653"),"אלפסי זוטא - 2 כרכים")</f>
        <v>אלפסי זוטא - 2 כרכים</v>
      </c>
      <c r="H17" t="str">
        <f>_xlfn.CONCAT("https://tablet.otzar.org/",CHAR(35),"/exKotar/147653")</f>
        <v>https://tablet.otzar.org/#/exKotar/147653</v>
      </c>
    </row>
    <row r="18" spans="1:8" x14ac:dyDescent="0.25">
      <c r="A18">
        <v>147426</v>
      </c>
      <c r="B18" t="s">
        <v>59</v>
      </c>
      <c r="C18" t="s">
        <v>60</v>
      </c>
      <c r="D18" t="s">
        <v>10</v>
      </c>
      <c r="E18" t="s">
        <v>61</v>
      </c>
      <c r="F18" t="s">
        <v>62</v>
      </c>
      <c r="G18" t="str">
        <f>HYPERLINK(_xlfn.CONCAT("https://tablet.otzar.org/",CHAR(35),"/book/147426/p/-1/t/1/fs/0/start/0/end/0/c"),"אמרי בינה &lt;דרשות&gt;")</f>
        <v>אמרי בינה &lt;דרשות&gt;</v>
      </c>
      <c r="H18" t="str">
        <f>_xlfn.CONCAT("https://tablet.otzar.org/",CHAR(35),"/book/147426/p/-1/t/1/fs/0/start/0/end/0/c")</f>
        <v>https://tablet.otzar.org/#/book/147426/p/-1/t/1/fs/0/start/0/end/0/c</v>
      </c>
    </row>
    <row r="19" spans="1:8" x14ac:dyDescent="0.25">
      <c r="A19">
        <v>147453</v>
      </c>
      <c r="B19" t="s">
        <v>63</v>
      </c>
      <c r="C19" t="s">
        <v>64</v>
      </c>
      <c r="D19" t="s">
        <v>10</v>
      </c>
      <c r="E19" t="s">
        <v>65</v>
      </c>
      <c r="F19" t="s">
        <v>49</v>
      </c>
      <c r="G19" t="str">
        <f>HYPERLINK(_xlfn.CONCAT("https://tablet.otzar.org/",CHAR(35),"/exKotar/147453"),"אפיקי מים - 3 כרכים")</f>
        <v>אפיקי מים - 3 כרכים</v>
      </c>
      <c r="H19" t="str">
        <f>_xlfn.CONCAT("https://tablet.otzar.org/",CHAR(35),"/exKotar/147453")</f>
        <v>https://tablet.otzar.org/#/exKotar/147453</v>
      </c>
    </row>
    <row r="20" spans="1:8" x14ac:dyDescent="0.25">
      <c r="A20">
        <v>147542</v>
      </c>
      <c r="B20" t="s">
        <v>66</v>
      </c>
      <c r="C20" t="s">
        <v>67</v>
      </c>
      <c r="D20" t="s">
        <v>10</v>
      </c>
      <c r="E20" t="s">
        <v>68</v>
      </c>
      <c r="F20" t="s">
        <v>49</v>
      </c>
      <c r="G20" t="str">
        <f>HYPERLINK(_xlfn.CONCAT("https://tablet.otzar.org/",CHAR(35),"/book/147542/p/-1/t/1/fs/0/start/0/end/0/c"),"ארחות חיים &lt;מכון ירושלים&gt; - שבת")</f>
        <v>ארחות חיים &lt;מכון ירושלים&gt; - שבת</v>
      </c>
      <c r="H20" t="str">
        <f>_xlfn.CONCAT("https://tablet.otzar.org/",CHAR(35),"/book/147542/p/-1/t/1/fs/0/start/0/end/0/c")</f>
        <v>https://tablet.otzar.org/#/book/147542/p/-1/t/1/fs/0/start/0/end/0/c</v>
      </c>
    </row>
    <row r="21" spans="1:8" x14ac:dyDescent="0.25">
      <c r="A21">
        <v>622078</v>
      </c>
      <c r="B21" t="s">
        <v>69</v>
      </c>
      <c r="C21" t="s">
        <v>70</v>
      </c>
      <c r="D21" t="s">
        <v>10</v>
      </c>
      <c r="E21" t="s">
        <v>31</v>
      </c>
      <c r="F21" t="s">
        <v>49</v>
      </c>
      <c r="G21" t="str">
        <f>HYPERLINK(_xlfn.CONCAT("https://tablet.otzar.org/",CHAR(35),"/exKotar/622078"),"ארחות חיים כתר ראש &lt;מכון ירושלים&gt;  - 2 כרכים")</f>
        <v>ארחות חיים כתר ראש &lt;מכון ירושלים&gt;  - 2 כרכים</v>
      </c>
      <c r="H21" t="str">
        <f>_xlfn.CONCAT("https://tablet.otzar.org/",CHAR(35),"/exKotar/622078")</f>
        <v>https://tablet.otzar.org/#/exKotar/622078</v>
      </c>
    </row>
    <row r="22" spans="1:8" x14ac:dyDescent="0.25">
      <c r="A22">
        <v>146762</v>
      </c>
      <c r="B22" t="s">
        <v>71</v>
      </c>
      <c r="C22" t="s">
        <v>72</v>
      </c>
      <c r="D22" t="s">
        <v>10</v>
      </c>
      <c r="E22" t="s">
        <v>73</v>
      </c>
      <c r="F22" t="s">
        <v>74</v>
      </c>
      <c r="G22" t="str">
        <f>HYPERLINK(_xlfn.CONCAT("https://tablet.otzar.org/",CHAR(35),"/book/146762/p/-1/t/1/fs/0/start/0/end/0/c"),"באר אברהם")</f>
        <v>באר אברהם</v>
      </c>
      <c r="H22" t="str">
        <f>_xlfn.CONCAT("https://tablet.otzar.org/",CHAR(35),"/book/146762/p/-1/t/1/fs/0/start/0/end/0/c")</f>
        <v>https://tablet.otzar.org/#/book/146762/p/-1/t/1/fs/0/start/0/end/0/c</v>
      </c>
    </row>
    <row r="23" spans="1:8" x14ac:dyDescent="0.25">
      <c r="A23">
        <v>147375</v>
      </c>
      <c r="B23" t="s">
        <v>75</v>
      </c>
      <c r="C23" t="s">
        <v>76</v>
      </c>
      <c r="D23" t="s">
        <v>10</v>
      </c>
      <c r="E23" t="s">
        <v>77</v>
      </c>
      <c r="F23" t="s">
        <v>78</v>
      </c>
      <c r="G23" t="str">
        <f>HYPERLINK(_xlfn.CONCAT("https://tablet.otzar.org/",CHAR(35),"/exKotar/147375"),"באר יצחק - 2 כרכים")</f>
        <v>באר יצחק - 2 כרכים</v>
      </c>
      <c r="H23" t="str">
        <f>_xlfn.CONCAT("https://tablet.otzar.org/",CHAR(35),"/exKotar/147375")</f>
        <v>https://tablet.otzar.org/#/exKotar/147375</v>
      </c>
    </row>
    <row r="24" spans="1:8" x14ac:dyDescent="0.25">
      <c r="A24">
        <v>147643</v>
      </c>
      <c r="B24" t="s">
        <v>79</v>
      </c>
      <c r="C24" t="s">
        <v>80</v>
      </c>
      <c r="D24" t="s">
        <v>10</v>
      </c>
      <c r="E24" t="s">
        <v>73</v>
      </c>
      <c r="F24" t="s">
        <v>78</v>
      </c>
      <c r="G24" t="str">
        <f>HYPERLINK(_xlfn.CONCAT("https://tablet.otzar.org/",CHAR(35),"/exKotar/147643"),"באר משה - 2 כרכים")</f>
        <v>באר משה - 2 כרכים</v>
      </c>
      <c r="H24" t="str">
        <f>_xlfn.CONCAT("https://tablet.otzar.org/",CHAR(35),"/exKotar/147643")</f>
        <v>https://tablet.otzar.org/#/exKotar/147643</v>
      </c>
    </row>
    <row r="25" spans="1:8" x14ac:dyDescent="0.25">
      <c r="A25">
        <v>147528</v>
      </c>
      <c r="B25" t="s">
        <v>81</v>
      </c>
      <c r="C25" t="s">
        <v>82</v>
      </c>
      <c r="D25" t="s">
        <v>83</v>
      </c>
      <c r="E25" t="s">
        <v>84</v>
      </c>
      <c r="F25" t="s">
        <v>16</v>
      </c>
      <c r="G25" t="str">
        <f>HYPERLINK(_xlfn.CONCAT("https://tablet.otzar.org/",CHAR(35),"/exKotar/147528"),"בארות המים - 6 כרכים")</f>
        <v>בארות המים - 6 כרכים</v>
      </c>
      <c r="H25" t="str">
        <f>_xlfn.CONCAT("https://tablet.otzar.org/",CHAR(35),"/exKotar/147528")</f>
        <v>https://tablet.otzar.org/#/exKotar/147528</v>
      </c>
    </row>
    <row r="26" spans="1:8" x14ac:dyDescent="0.25">
      <c r="A26">
        <v>147045</v>
      </c>
      <c r="B26" t="s">
        <v>85</v>
      </c>
      <c r="C26" t="s">
        <v>86</v>
      </c>
      <c r="D26" t="s">
        <v>10</v>
      </c>
      <c r="E26" t="s">
        <v>87</v>
      </c>
      <c r="F26" t="s">
        <v>49</v>
      </c>
      <c r="G26" t="str">
        <f>HYPERLINK(_xlfn.CONCAT("https://tablet.otzar.org/",CHAR(35),"/book/147045/p/-1/t/1/fs/0/start/0/end/0/c"),"בה""""ג - הלכות גדולות בתוספת פירושים והגהות מגאוני ישראל")</f>
        <v>בה""ג - הלכות גדולות בתוספת פירושים והגהות מגאוני ישראל</v>
      </c>
      <c r="H26" t="str">
        <f>_xlfn.CONCAT("https://tablet.otzar.org/",CHAR(35),"/book/147045/p/-1/t/1/fs/0/start/0/end/0/c")</f>
        <v>https://tablet.otzar.org/#/book/147045/p/-1/t/1/fs/0/start/0/end/0/c</v>
      </c>
    </row>
    <row r="27" spans="1:8" x14ac:dyDescent="0.25">
      <c r="A27">
        <v>147464</v>
      </c>
      <c r="B27" t="s">
        <v>88</v>
      </c>
      <c r="C27" t="s">
        <v>89</v>
      </c>
      <c r="D27" t="s">
        <v>10</v>
      </c>
      <c r="E27" t="s">
        <v>90</v>
      </c>
      <c r="F27" t="s">
        <v>91</v>
      </c>
      <c r="G27" t="str">
        <f>HYPERLINK(_xlfn.CONCAT("https://tablet.otzar.org/",CHAR(35),"/book/147464/p/-1/t/1/fs/0/start/0/end/0/c"),"בזך לבונה")</f>
        <v>בזך לבונה</v>
      </c>
      <c r="H27" t="str">
        <f>_xlfn.CONCAT("https://tablet.otzar.org/",CHAR(35),"/book/147464/p/-1/t/1/fs/0/start/0/end/0/c")</f>
        <v>https://tablet.otzar.org/#/book/147464/p/-1/t/1/fs/0/start/0/end/0/c</v>
      </c>
    </row>
    <row r="28" spans="1:8" x14ac:dyDescent="0.25">
      <c r="A28">
        <v>610233</v>
      </c>
      <c r="B28" t="s">
        <v>92</v>
      </c>
      <c r="C28" t="s">
        <v>89</v>
      </c>
      <c r="D28" t="s">
        <v>10</v>
      </c>
      <c r="E28" t="s">
        <v>36</v>
      </c>
      <c r="F28" t="s">
        <v>29</v>
      </c>
      <c r="G28" t="str">
        <f>HYPERLINK(_xlfn.CONCAT("https://tablet.otzar.org/",CHAR(35),"/exKotar/610233"),"בזך לבונה &lt;על התורה&gt;  - 2 כרכים")</f>
        <v>בזך לבונה &lt;על התורה&gt;  - 2 כרכים</v>
      </c>
      <c r="H28" t="str">
        <f>_xlfn.CONCAT("https://tablet.otzar.org/",CHAR(35),"/exKotar/610233")</f>
        <v>https://tablet.otzar.org/#/exKotar/610233</v>
      </c>
    </row>
    <row r="29" spans="1:8" x14ac:dyDescent="0.25">
      <c r="A29">
        <v>147418</v>
      </c>
      <c r="B29" t="s">
        <v>93</v>
      </c>
      <c r="C29" t="s">
        <v>94</v>
      </c>
      <c r="D29" t="s">
        <v>10</v>
      </c>
      <c r="E29" t="s">
        <v>73</v>
      </c>
      <c r="F29" t="s">
        <v>49</v>
      </c>
      <c r="G29" t="str">
        <f>HYPERLINK(_xlfn.CONCAT("https://tablet.otzar.org/",CHAR(35),"/book/147418/p/-1/t/1/fs/0/start/0/end/0/c"),"ביאור לטור אורח חיים מהר""""י אבוהב")</f>
        <v>ביאור לטור אורח חיים מהר""י אבוהב</v>
      </c>
      <c r="H29" t="str">
        <f>_xlfn.CONCAT("https://tablet.otzar.org/",CHAR(35),"/book/147418/p/-1/t/1/fs/0/start/0/end/0/c")</f>
        <v>https://tablet.otzar.org/#/book/147418/p/-1/t/1/fs/0/start/0/end/0/c</v>
      </c>
    </row>
    <row r="30" spans="1:8" x14ac:dyDescent="0.25">
      <c r="A30">
        <v>147067</v>
      </c>
      <c r="B30" t="s">
        <v>95</v>
      </c>
      <c r="C30" t="s">
        <v>96</v>
      </c>
      <c r="D30" t="s">
        <v>10</v>
      </c>
      <c r="E30" t="s">
        <v>97</v>
      </c>
      <c r="F30" t="s">
        <v>43</v>
      </c>
      <c r="G30" t="str">
        <f>HYPERLINK(_xlfn.CONCAT("https://tablet.otzar.org/",CHAR(35),"/book/147067/p/-1/t/1/fs/0/start/0/end/0/c"),"בית אברהם")</f>
        <v>בית אברהם</v>
      </c>
      <c r="H30" t="str">
        <f>_xlfn.CONCAT("https://tablet.otzar.org/",CHAR(35),"/book/147067/p/-1/t/1/fs/0/start/0/end/0/c")</f>
        <v>https://tablet.otzar.org/#/book/147067/p/-1/t/1/fs/0/start/0/end/0/c</v>
      </c>
    </row>
    <row r="31" spans="1:8" x14ac:dyDescent="0.25">
      <c r="A31">
        <v>146668</v>
      </c>
      <c r="B31" t="s">
        <v>98</v>
      </c>
      <c r="C31" t="s">
        <v>99</v>
      </c>
      <c r="D31" t="s">
        <v>10</v>
      </c>
      <c r="E31" t="s">
        <v>97</v>
      </c>
      <c r="F31" t="s">
        <v>100</v>
      </c>
      <c r="G31" t="str">
        <f>HYPERLINK(_xlfn.CONCAT("https://tablet.otzar.org/",CHAR(35),"/book/146668/p/-1/t/1/fs/0/start/0/end/0/c"),"בית אהרן - ביאורי הרמב""""ם על פי המאירי")</f>
        <v>בית אהרן - ביאורי הרמב""ם על פי המאירי</v>
      </c>
      <c r="H31" t="str">
        <f>_xlfn.CONCAT("https://tablet.otzar.org/",CHAR(35),"/book/146668/p/-1/t/1/fs/0/start/0/end/0/c")</f>
        <v>https://tablet.otzar.org/#/book/146668/p/-1/t/1/fs/0/start/0/end/0/c</v>
      </c>
    </row>
    <row r="32" spans="1:8" x14ac:dyDescent="0.25">
      <c r="A32">
        <v>656857</v>
      </c>
      <c r="B32" t="s">
        <v>101</v>
      </c>
      <c r="C32" t="s">
        <v>102</v>
      </c>
      <c r="D32" t="s">
        <v>10</v>
      </c>
      <c r="E32" t="s">
        <v>103</v>
      </c>
      <c r="F32" t="s">
        <v>104</v>
      </c>
      <c r="G32" t="str">
        <f>HYPERLINK(_xlfn.CONCAT("https://tablet.otzar.org/",CHAR(35),"/book/656857/p/-1/t/1/fs/0/start/0/end/0/c"),"בית דוד &lt;מכון ירושלים&gt; - אורח חיים")</f>
        <v>בית דוד &lt;מכון ירושלים&gt; - אורח חיים</v>
      </c>
      <c r="H32" t="str">
        <f>_xlfn.CONCAT("https://tablet.otzar.org/",CHAR(35),"/book/656857/p/-1/t/1/fs/0/start/0/end/0/c")</f>
        <v>https://tablet.otzar.org/#/book/656857/p/-1/t/1/fs/0/start/0/end/0/c</v>
      </c>
    </row>
    <row r="33" spans="1:8" x14ac:dyDescent="0.25">
      <c r="A33">
        <v>147047</v>
      </c>
      <c r="B33" t="s">
        <v>105</v>
      </c>
      <c r="C33" t="s">
        <v>106</v>
      </c>
      <c r="D33" t="s">
        <v>107</v>
      </c>
      <c r="E33" t="s">
        <v>108</v>
      </c>
      <c r="F33" t="s">
        <v>78</v>
      </c>
      <c r="G33" t="str">
        <f>HYPERLINK(_xlfn.CONCAT("https://tablet.otzar.org/",CHAR(35),"/book/147047/p/-1/t/1/fs/0/start/0/end/0/c"),"בית דוד השלם")</f>
        <v>בית דוד השלם</v>
      </c>
      <c r="H33" t="str">
        <f>_xlfn.CONCAT("https://tablet.otzar.org/",CHAR(35),"/book/147047/p/-1/t/1/fs/0/start/0/end/0/c")</f>
        <v>https://tablet.otzar.org/#/book/147047/p/-1/t/1/fs/0/start/0/end/0/c</v>
      </c>
    </row>
    <row r="34" spans="1:8" x14ac:dyDescent="0.25">
      <c r="A34">
        <v>147491</v>
      </c>
      <c r="B34" t="s">
        <v>109</v>
      </c>
      <c r="C34" t="s">
        <v>110</v>
      </c>
      <c r="D34" t="s">
        <v>10</v>
      </c>
      <c r="E34" t="s">
        <v>65</v>
      </c>
      <c r="F34" t="s">
        <v>29</v>
      </c>
      <c r="G34" t="str">
        <f>HYPERLINK(_xlfn.CONCAT("https://tablet.otzar.org/",CHAR(35),"/book/147491/p/-1/t/1/fs/0/start/0/end/0/c"),"בית יוסף להבה")</f>
        <v>בית יוסף להבה</v>
      </c>
      <c r="H34" t="str">
        <f>_xlfn.CONCAT("https://tablet.otzar.org/",CHAR(35),"/book/147491/p/-1/t/1/fs/0/start/0/end/0/c")</f>
        <v>https://tablet.otzar.org/#/book/147491/p/-1/t/1/fs/0/start/0/end/0/c</v>
      </c>
    </row>
    <row r="35" spans="1:8" x14ac:dyDescent="0.25">
      <c r="A35">
        <v>146633</v>
      </c>
      <c r="B35" t="s">
        <v>111</v>
      </c>
      <c r="C35" t="s">
        <v>112</v>
      </c>
      <c r="D35" t="s">
        <v>10</v>
      </c>
      <c r="E35" t="s">
        <v>15</v>
      </c>
      <c r="F35" t="s">
        <v>29</v>
      </c>
      <c r="G35" t="str">
        <f>HYPERLINK(_xlfn.CONCAT("https://tablet.otzar.org/",CHAR(35),"/book/146633/p/-1/t/1/fs/0/start/0/end/0/c"),"בית יצחק - תורה")</f>
        <v>בית יצחק - תורה</v>
      </c>
      <c r="H35" t="str">
        <f>_xlfn.CONCAT("https://tablet.otzar.org/",CHAR(35),"/book/146633/p/-1/t/1/fs/0/start/0/end/0/c")</f>
        <v>https://tablet.otzar.org/#/book/146633/p/-1/t/1/fs/0/start/0/end/0/c</v>
      </c>
    </row>
    <row r="36" spans="1:8" x14ac:dyDescent="0.25">
      <c r="A36">
        <v>147423</v>
      </c>
      <c r="B36" t="s">
        <v>113</v>
      </c>
      <c r="C36" t="s">
        <v>114</v>
      </c>
      <c r="D36" t="s">
        <v>10</v>
      </c>
      <c r="E36" t="s">
        <v>73</v>
      </c>
      <c r="F36" t="s">
        <v>34</v>
      </c>
      <c r="G36" t="str">
        <f>HYPERLINK(_xlfn.CONCAT("https://tablet.otzar.org/",CHAR(35),"/book/147423/p/-1/t/1/fs/0/start/0/end/0/c"),"בית מנוחה")</f>
        <v>בית מנוחה</v>
      </c>
      <c r="H36" t="str">
        <f>_xlfn.CONCAT("https://tablet.otzar.org/",CHAR(35),"/book/147423/p/-1/t/1/fs/0/start/0/end/0/c")</f>
        <v>https://tablet.otzar.org/#/book/147423/p/-1/t/1/fs/0/start/0/end/0/c</v>
      </c>
    </row>
    <row r="37" spans="1:8" x14ac:dyDescent="0.25">
      <c r="A37">
        <v>147065</v>
      </c>
      <c r="B37" t="s">
        <v>115</v>
      </c>
      <c r="C37" t="s">
        <v>116</v>
      </c>
      <c r="D37" t="s">
        <v>10</v>
      </c>
      <c r="E37" t="s">
        <v>117</v>
      </c>
      <c r="F37" t="s">
        <v>43</v>
      </c>
      <c r="G37" t="str">
        <f>HYPERLINK(_xlfn.CONCAT("https://tablet.otzar.org/",CHAR(35),"/book/147065/p/-1/t/1/fs/0/start/0/end/0/c"),"בית נדיב")</f>
        <v>בית נדיב</v>
      </c>
      <c r="H37" t="str">
        <f>_xlfn.CONCAT("https://tablet.otzar.org/",CHAR(35),"/book/147065/p/-1/t/1/fs/0/start/0/end/0/c")</f>
        <v>https://tablet.otzar.org/#/book/147065/p/-1/t/1/fs/0/start/0/end/0/c</v>
      </c>
    </row>
    <row r="38" spans="1:8" x14ac:dyDescent="0.25">
      <c r="A38">
        <v>633154</v>
      </c>
      <c r="B38" t="s">
        <v>118</v>
      </c>
      <c r="C38" t="s">
        <v>119</v>
      </c>
      <c r="D38" t="s">
        <v>10</v>
      </c>
      <c r="E38" t="s">
        <v>55</v>
      </c>
      <c r="F38" t="s">
        <v>78</v>
      </c>
      <c r="G38" t="str">
        <f>HYPERLINK(_xlfn.CONCAT("https://tablet.otzar.org/",CHAR(35),"/book/633154/p/-1/t/1/fs/0/start/0/end/0/c"),"בנין אפריון")</f>
        <v>בנין אפריון</v>
      </c>
      <c r="H38" t="str">
        <f>_xlfn.CONCAT("https://tablet.otzar.org/",CHAR(35),"/book/633154/p/-1/t/1/fs/0/start/0/end/0/c")</f>
        <v>https://tablet.otzar.org/#/book/633154/p/-1/t/1/fs/0/start/0/end/0/c</v>
      </c>
    </row>
    <row r="39" spans="1:8" x14ac:dyDescent="0.25">
      <c r="A39">
        <v>147429</v>
      </c>
      <c r="B39" t="s">
        <v>120</v>
      </c>
      <c r="C39" t="s">
        <v>121</v>
      </c>
      <c r="D39" t="s">
        <v>10</v>
      </c>
      <c r="E39" t="s">
        <v>48</v>
      </c>
      <c r="F39" t="s">
        <v>122</v>
      </c>
      <c r="G39" t="str">
        <f>HYPERLINK(_xlfn.CONCAT("https://tablet.otzar.org/",CHAR(35),"/book/147429/p/-1/t/1/fs/0/start/0/end/0/c"),"בעל שם ממיכלשטאט")</f>
        <v>בעל שם ממיכלשטאט</v>
      </c>
      <c r="H39" t="str">
        <f>_xlfn.CONCAT("https://tablet.otzar.org/",CHAR(35),"/book/147429/p/-1/t/1/fs/0/start/0/end/0/c")</f>
        <v>https://tablet.otzar.org/#/book/147429/p/-1/t/1/fs/0/start/0/end/0/c</v>
      </c>
    </row>
    <row r="40" spans="1:8" x14ac:dyDescent="0.25">
      <c r="A40">
        <v>610235</v>
      </c>
      <c r="B40" t="s">
        <v>123</v>
      </c>
      <c r="C40" t="s">
        <v>121</v>
      </c>
      <c r="D40" t="s">
        <v>10</v>
      </c>
      <c r="E40" t="s">
        <v>124</v>
      </c>
      <c r="G40" t="str">
        <f>HYPERLINK(_xlfn.CONCAT("https://tablet.otzar.org/",CHAR(35),"/book/610235/p/-1/t/1/fs/0/start/0/end/0/c"),"בעל שם ממיכלשטאט (מהד""""ב)")</f>
        <v>בעל שם ממיכלשטאט (מהד""ב)</v>
      </c>
      <c r="H40" t="str">
        <f>_xlfn.CONCAT("https://tablet.otzar.org/",CHAR(35),"/book/610235/p/-1/t/1/fs/0/start/0/end/0/c")</f>
        <v>https://tablet.otzar.org/#/book/610235/p/-1/t/1/fs/0/start/0/end/0/c</v>
      </c>
    </row>
    <row r="41" spans="1:8" x14ac:dyDescent="0.25">
      <c r="A41">
        <v>147504</v>
      </c>
      <c r="B41" t="s">
        <v>125</v>
      </c>
      <c r="C41" t="s">
        <v>126</v>
      </c>
      <c r="D41" t="s">
        <v>10</v>
      </c>
      <c r="E41" t="s">
        <v>127</v>
      </c>
      <c r="F41" t="s">
        <v>34</v>
      </c>
      <c r="G41" t="str">
        <f>HYPERLINK(_xlfn.CONCAT("https://tablet.otzar.org/",CHAR(35),"/book/147504/p/-1/t/1/fs/0/start/0/end/0/c"),"ברך משה")</f>
        <v>ברך משה</v>
      </c>
      <c r="H41" t="str">
        <f>_xlfn.CONCAT("https://tablet.otzar.org/",CHAR(35),"/book/147504/p/-1/t/1/fs/0/start/0/end/0/c")</f>
        <v>https://tablet.otzar.org/#/book/147504/p/-1/t/1/fs/0/start/0/end/0/c</v>
      </c>
    </row>
    <row r="42" spans="1:8" x14ac:dyDescent="0.25">
      <c r="A42">
        <v>157093</v>
      </c>
      <c r="B42" t="s">
        <v>128</v>
      </c>
      <c r="C42" t="s">
        <v>129</v>
      </c>
      <c r="D42" t="s">
        <v>10</v>
      </c>
      <c r="E42" t="s">
        <v>46</v>
      </c>
      <c r="F42" t="s">
        <v>49</v>
      </c>
      <c r="G42" t="str">
        <f>HYPERLINK(_xlfn.CONCAT("https://tablet.otzar.org/",CHAR(35),"/book/157093/p/-1/t/1/fs/0/start/0/end/0/c"),"ברכות מהר""""ם")</f>
        <v>ברכות מהר""ם</v>
      </c>
      <c r="H42" t="str">
        <f>_xlfn.CONCAT("https://tablet.otzar.org/",CHAR(35),"/book/157093/p/-1/t/1/fs/0/start/0/end/0/c")</f>
        <v>https://tablet.otzar.org/#/book/157093/p/-1/t/1/fs/0/start/0/end/0/c</v>
      </c>
    </row>
    <row r="43" spans="1:8" x14ac:dyDescent="0.25">
      <c r="A43">
        <v>157152</v>
      </c>
      <c r="B43" t="s">
        <v>130</v>
      </c>
      <c r="C43" t="s">
        <v>80</v>
      </c>
      <c r="D43" t="s">
        <v>10</v>
      </c>
      <c r="E43" t="s">
        <v>131</v>
      </c>
      <c r="F43" t="s">
        <v>78</v>
      </c>
      <c r="G43" t="str">
        <f>HYPERLINK(_xlfn.CONCAT("https://tablet.otzar.org/",CHAR(35),"/exKotar/157152"),"ברכת משה &lt;מכון ירושלים&gt;  - 2 כרכים")</f>
        <v>ברכת משה &lt;מכון ירושלים&gt;  - 2 כרכים</v>
      </c>
      <c r="H43" t="str">
        <f>_xlfn.CONCAT("https://tablet.otzar.org/",CHAR(35),"/exKotar/157152")</f>
        <v>https://tablet.otzar.org/#/exKotar/157152</v>
      </c>
    </row>
    <row r="44" spans="1:8" x14ac:dyDescent="0.25">
      <c r="A44">
        <v>147044</v>
      </c>
      <c r="B44" t="s">
        <v>132</v>
      </c>
      <c r="C44" t="s">
        <v>133</v>
      </c>
      <c r="D44" t="s">
        <v>10</v>
      </c>
      <c r="E44" t="s">
        <v>134</v>
      </c>
      <c r="F44" t="s">
        <v>91</v>
      </c>
      <c r="G44" t="str">
        <f>HYPERLINK(_xlfn.CONCAT("https://tablet.otzar.org/",CHAR(35),"/book/147044/p/-1/t/1/fs/0/start/0/end/0/c"),"גט פשוט")</f>
        <v>גט פשוט</v>
      </c>
      <c r="H44" t="str">
        <f>_xlfn.CONCAT("https://tablet.otzar.org/",CHAR(35),"/book/147044/p/-1/t/1/fs/0/start/0/end/0/c")</f>
        <v>https://tablet.otzar.org/#/book/147044/p/-1/t/1/fs/0/start/0/end/0/c</v>
      </c>
    </row>
    <row r="45" spans="1:8" x14ac:dyDescent="0.25">
      <c r="A45">
        <v>147066</v>
      </c>
      <c r="B45" t="s">
        <v>135</v>
      </c>
      <c r="C45" t="s">
        <v>136</v>
      </c>
      <c r="D45" t="s">
        <v>10</v>
      </c>
      <c r="E45" t="s">
        <v>87</v>
      </c>
      <c r="F45" t="s">
        <v>137</v>
      </c>
      <c r="G45" t="str">
        <f>HYPERLINK(_xlfn.CONCAT("https://tablet.otzar.org/",CHAR(35),"/book/147066/p/-1/t/1/fs/0/start/0/end/0/c"),"גידולי ציון")</f>
        <v>גידולי ציון</v>
      </c>
      <c r="H45" t="str">
        <f>_xlfn.CONCAT("https://tablet.otzar.org/",CHAR(35),"/book/147066/p/-1/t/1/fs/0/start/0/end/0/c")</f>
        <v>https://tablet.otzar.org/#/book/147066/p/-1/t/1/fs/0/start/0/end/0/c</v>
      </c>
    </row>
    <row r="46" spans="1:8" x14ac:dyDescent="0.25">
      <c r="A46">
        <v>150975</v>
      </c>
      <c r="B46" t="s">
        <v>138</v>
      </c>
      <c r="C46" t="s">
        <v>139</v>
      </c>
      <c r="D46" t="s">
        <v>10</v>
      </c>
      <c r="E46" t="s">
        <v>22</v>
      </c>
      <c r="F46" t="s">
        <v>140</v>
      </c>
      <c r="G46" t="str">
        <f>HYPERLINK(_xlfn.CONCAT("https://tablet.otzar.org/",CHAR(35),"/book/150975/p/-1/t/1/fs/0/start/0/end/0/c"),"גינת וורדים &lt;מכון ירושלים&gt;")</f>
        <v>גינת וורדים &lt;מכון ירושלים&gt;</v>
      </c>
      <c r="H46" t="str">
        <f>_xlfn.CONCAT("https://tablet.otzar.org/",CHAR(35),"/book/150975/p/-1/t/1/fs/0/start/0/end/0/c")</f>
        <v>https://tablet.otzar.org/#/book/150975/p/-1/t/1/fs/0/start/0/end/0/c</v>
      </c>
    </row>
    <row r="47" spans="1:8" x14ac:dyDescent="0.25">
      <c r="A47">
        <v>678558</v>
      </c>
      <c r="B47" t="s">
        <v>141</v>
      </c>
      <c r="C47" t="s">
        <v>142</v>
      </c>
      <c r="D47" t="s">
        <v>10</v>
      </c>
      <c r="E47" t="s">
        <v>19</v>
      </c>
      <c r="F47" t="s">
        <v>143</v>
      </c>
      <c r="G47" t="str">
        <f>HYPERLINK(_xlfn.CONCAT("https://tablet.otzar.org/",CHAR(35),"/book/678558/p/-1/t/1/fs/0/start/0/end/0/c"),"גנת ביתן")</f>
        <v>גנת ביתן</v>
      </c>
      <c r="H47" t="str">
        <f>_xlfn.CONCAT("https://tablet.otzar.org/",CHAR(35),"/book/678558/p/-1/t/1/fs/0/start/0/end/0/c")</f>
        <v>https://tablet.otzar.org/#/book/678558/p/-1/t/1/fs/0/start/0/end/0/c</v>
      </c>
    </row>
    <row r="48" spans="1:8" x14ac:dyDescent="0.25">
      <c r="A48">
        <v>688050</v>
      </c>
      <c r="B48" t="s">
        <v>144</v>
      </c>
      <c r="C48" t="s">
        <v>145</v>
      </c>
      <c r="F48" t="s">
        <v>146</v>
      </c>
      <c r="G48" t="str">
        <f>HYPERLINK(_xlfn.CONCAT("https://tablet.otzar.org/",CHAR(35),"/book/688050/p/-1/t/1/fs/0/start/0/end/0/c"),"דברי חכמים")</f>
        <v>דברי חכמים</v>
      </c>
      <c r="H48" t="str">
        <f>_xlfn.CONCAT("https://tablet.otzar.org/",CHAR(35),"/book/688050/p/-1/t/1/fs/0/start/0/end/0/c")</f>
        <v>https://tablet.otzar.org/#/book/688050/p/-1/t/1/fs/0/start/0/end/0/c</v>
      </c>
    </row>
    <row r="49" spans="1:8" x14ac:dyDescent="0.25">
      <c r="A49">
        <v>170518</v>
      </c>
      <c r="B49" t="s">
        <v>147</v>
      </c>
      <c r="C49" t="s">
        <v>148</v>
      </c>
      <c r="D49" t="s">
        <v>10</v>
      </c>
      <c r="E49" t="s">
        <v>149</v>
      </c>
      <c r="F49" t="s">
        <v>150</v>
      </c>
      <c r="G49" t="str">
        <f>HYPERLINK(_xlfn.CONCAT("https://tablet.otzar.org/",CHAR(35),"/book/170518/p/-1/t/1/fs/0/start/0/end/0/c"),"דברי יהושע &lt;מכון ירושלים&gt;")</f>
        <v>דברי יהושע &lt;מכון ירושלים&gt;</v>
      </c>
      <c r="H49" t="str">
        <f>_xlfn.CONCAT("https://tablet.otzar.org/",CHAR(35),"/book/170518/p/-1/t/1/fs/0/start/0/end/0/c")</f>
        <v>https://tablet.otzar.org/#/book/170518/p/-1/t/1/fs/0/start/0/end/0/c</v>
      </c>
    </row>
    <row r="50" spans="1:8" x14ac:dyDescent="0.25">
      <c r="A50">
        <v>147061</v>
      </c>
      <c r="B50" t="s">
        <v>151</v>
      </c>
      <c r="C50" t="s">
        <v>152</v>
      </c>
      <c r="D50" t="s">
        <v>10</v>
      </c>
      <c r="E50" t="s">
        <v>153</v>
      </c>
      <c r="F50" t="s">
        <v>34</v>
      </c>
      <c r="G50" t="str">
        <f>HYPERLINK(_xlfn.CONCAT("https://tablet.otzar.org/",CHAR(35),"/exKotar/147061"),"דברי ירמיהו - 2 כרכים")</f>
        <v>דברי ירמיהו - 2 כרכים</v>
      </c>
      <c r="H50" t="str">
        <f>_xlfn.CONCAT("https://tablet.otzar.org/",CHAR(35),"/exKotar/147061")</f>
        <v>https://tablet.otzar.org/#/exKotar/147061</v>
      </c>
    </row>
    <row r="51" spans="1:8" x14ac:dyDescent="0.25">
      <c r="A51">
        <v>147051</v>
      </c>
      <c r="B51" t="s">
        <v>154</v>
      </c>
      <c r="C51" t="s">
        <v>155</v>
      </c>
      <c r="D51" t="s">
        <v>10</v>
      </c>
      <c r="E51" t="s">
        <v>156</v>
      </c>
      <c r="F51" t="s">
        <v>34</v>
      </c>
      <c r="G51" t="str">
        <f>HYPERLINK(_xlfn.CONCAT("https://tablet.otzar.org/",CHAR(35),"/book/147051/p/-1/t/1/fs/0/start/0/end/0/c"),"דרוש וחדוש רבי עקיבא איגר &lt;מכתב יד&gt;")</f>
        <v>דרוש וחדוש רבי עקיבא איגר &lt;מכתב יד&gt;</v>
      </c>
      <c r="H51" t="str">
        <f>_xlfn.CONCAT("https://tablet.otzar.org/",CHAR(35),"/book/147051/p/-1/t/1/fs/0/start/0/end/0/c")</f>
        <v>https://tablet.otzar.org/#/book/147051/p/-1/t/1/fs/0/start/0/end/0/c</v>
      </c>
    </row>
    <row r="52" spans="1:8" x14ac:dyDescent="0.25">
      <c r="A52">
        <v>633156</v>
      </c>
      <c r="B52" t="s">
        <v>157</v>
      </c>
      <c r="C52" t="s">
        <v>158</v>
      </c>
      <c r="D52" t="s">
        <v>10</v>
      </c>
      <c r="E52" t="s">
        <v>55</v>
      </c>
      <c r="F52" t="s">
        <v>34</v>
      </c>
      <c r="G52" t="str">
        <f>HYPERLINK(_xlfn.CONCAT("https://tablet.otzar.org/",CHAR(35),"/exKotar/633156"),"דרכי דוד &lt;מהדורה חדשה&gt;  - 2 כרכים")</f>
        <v>דרכי דוד &lt;מהדורה חדשה&gt;  - 2 כרכים</v>
      </c>
      <c r="H52" t="str">
        <f>_xlfn.CONCAT("https://tablet.otzar.org/",CHAR(35),"/exKotar/633156")</f>
        <v>https://tablet.otzar.org/#/exKotar/633156</v>
      </c>
    </row>
    <row r="53" spans="1:8" x14ac:dyDescent="0.25">
      <c r="A53">
        <v>146673</v>
      </c>
      <c r="B53" t="s">
        <v>159</v>
      </c>
      <c r="C53" t="s">
        <v>160</v>
      </c>
      <c r="D53" t="s">
        <v>10</v>
      </c>
      <c r="E53" t="s">
        <v>39</v>
      </c>
      <c r="F53" t="s">
        <v>49</v>
      </c>
      <c r="G53" t="str">
        <f>HYPERLINK(_xlfn.CONCAT("https://tablet.otzar.org/",CHAR(35),"/exKotar/146673"),"דרכי משה השלם [הארוך] - 2 כרכים")</f>
        <v>דרכי משה השלם [הארוך] - 2 כרכים</v>
      </c>
      <c r="H53" t="str">
        <f>_xlfn.CONCAT("https://tablet.otzar.org/",CHAR(35),"/exKotar/146673")</f>
        <v>https://tablet.otzar.org/#/exKotar/146673</v>
      </c>
    </row>
    <row r="54" spans="1:8" x14ac:dyDescent="0.25">
      <c r="A54">
        <v>147444</v>
      </c>
      <c r="B54" t="s">
        <v>161</v>
      </c>
      <c r="C54" t="s">
        <v>162</v>
      </c>
      <c r="D54" t="s">
        <v>10</v>
      </c>
      <c r="E54" t="s">
        <v>58</v>
      </c>
      <c r="F54" t="s">
        <v>163</v>
      </c>
      <c r="G54" t="str">
        <f>HYPERLINK(_xlfn.CONCAT("https://tablet.otzar.org/",CHAR(35),"/book/147444/p/-1/t/1/fs/0/start/0/end/0/c"),"דרשות מהר""""ם בנעט")</f>
        <v>דרשות מהר""ם בנעט</v>
      </c>
      <c r="H54" t="str">
        <f>_xlfn.CONCAT("https://tablet.otzar.org/",CHAR(35),"/book/147444/p/-1/t/1/fs/0/start/0/end/0/c")</f>
        <v>https://tablet.otzar.org/#/book/147444/p/-1/t/1/fs/0/start/0/end/0/c</v>
      </c>
    </row>
    <row r="55" spans="1:8" x14ac:dyDescent="0.25">
      <c r="A55">
        <v>147428</v>
      </c>
      <c r="B55" t="s">
        <v>164</v>
      </c>
      <c r="C55" t="s">
        <v>165</v>
      </c>
      <c r="D55" t="s">
        <v>10</v>
      </c>
      <c r="E55" t="s">
        <v>166</v>
      </c>
      <c r="F55" t="s">
        <v>167</v>
      </c>
      <c r="G55" t="str">
        <f>HYPERLINK(_xlfn.CONCAT("https://tablet.otzar.org/",CHAR(35),"/book/147428/p/-1/t/1/fs/0/start/0/end/0/c"),"דרשות רבינו יוסף מסלוצק")</f>
        <v>דרשות רבינו יוסף מסלוצק</v>
      </c>
      <c r="H55" t="str">
        <f>_xlfn.CONCAT("https://tablet.otzar.org/",CHAR(35),"/book/147428/p/-1/t/1/fs/0/start/0/end/0/c")</f>
        <v>https://tablet.otzar.org/#/book/147428/p/-1/t/1/fs/0/start/0/end/0/c</v>
      </c>
    </row>
    <row r="56" spans="1:8" x14ac:dyDescent="0.25">
      <c r="A56">
        <v>147490</v>
      </c>
      <c r="B56" t="s">
        <v>168</v>
      </c>
      <c r="C56" t="s">
        <v>114</v>
      </c>
      <c r="D56" t="s">
        <v>10</v>
      </c>
      <c r="E56" t="s">
        <v>65</v>
      </c>
      <c r="F56" t="s">
        <v>169</v>
      </c>
      <c r="G56" t="str">
        <f>HYPERLINK(_xlfn.CONCAT("https://tablet.otzar.org/",CHAR(35),"/book/147490/p/-1/t/1/fs/0/start/0/end/0/c"),"הגדה של פסח &lt;גאל ישראל&gt;")</f>
        <v>הגדה של פסח &lt;גאל ישראל&gt;</v>
      </c>
      <c r="H56" t="str">
        <f>_xlfn.CONCAT("https://tablet.otzar.org/",CHAR(35),"/book/147490/p/-1/t/1/fs/0/start/0/end/0/c")</f>
        <v>https://tablet.otzar.org/#/book/147490/p/-1/t/1/fs/0/start/0/end/0/c</v>
      </c>
    </row>
    <row r="57" spans="1:8" x14ac:dyDescent="0.25">
      <c r="A57">
        <v>637116</v>
      </c>
      <c r="B57" t="s">
        <v>170</v>
      </c>
      <c r="C57" t="s">
        <v>171</v>
      </c>
      <c r="D57" t="s">
        <v>10</v>
      </c>
      <c r="E57" t="s">
        <v>172</v>
      </c>
      <c r="F57" t="s">
        <v>49</v>
      </c>
      <c r="G57" t="str">
        <f>HYPERLINK(_xlfn.CONCAT("https://tablet.otzar.org/",CHAR(35),"/book/637116/p/-1/t/1/fs/0/start/0/end/0/c"),"הלכות בכורות וחלה להרמב""""ן עם הלכות יום טוב למהרי""""ט אלגאזי")</f>
        <v>הלכות בכורות וחלה להרמב""ן עם הלכות יום טוב למהרי""ט אלגאזי</v>
      </c>
      <c r="H57" t="str">
        <f>_xlfn.CONCAT("https://tablet.otzar.org/",CHAR(35),"/book/637116/p/-1/t/1/fs/0/start/0/end/0/c")</f>
        <v>https://tablet.otzar.org/#/book/637116/p/-1/t/1/fs/0/start/0/end/0/c</v>
      </c>
    </row>
    <row r="58" spans="1:8" x14ac:dyDescent="0.25">
      <c r="A58">
        <v>147425</v>
      </c>
      <c r="B58" t="s">
        <v>173</v>
      </c>
      <c r="C58" t="s">
        <v>174</v>
      </c>
      <c r="D58" t="s">
        <v>10</v>
      </c>
      <c r="E58" t="s">
        <v>153</v>
      </c>
      <c r="F58" t="s">
        <v>104</v>
      </c>
      <c r="G58" t="str">
        <f>HYPERLINK(_xlfn.CONCAT("https://tablet.otzar.org/",CHAR(35),"/book/147425/p/-1/t/1/fs/0/start/0/end/0/c"),"הלכות ומנהגי רבינו שלום מנוישטט")</f>
        <v>הלכות ומנהגי רבינו שלום מנוישטט</v>
      </c>
      <c r="H58" t="str">
        <f>_xlfn.CONCAT("https://tablet.otzar.org/",CHAR(35),"/book/147425/p/-1/t/1/fs/0/start/0/end/0/c")</f>
        <v>https://tablet.otzar.org/#/book/147425/p/-1/t/1/fs/0/start/0/end/0/c</v>
      </c>
    </row>
    <row r="59" spans="1:8" x14ac:dyDescent="0.25">
      <c r="A59">
        <v>147465</v>
      </c>
      <c r="B59" t="s">
        <v>175</v>
      </c>
      <c r="C59" t="s">
        <v>176</v>
      </c>
      <c r="D59" t="s">
        <v>10</v>
      </c>
      <c r="E59" t="s">
        <v>58</v>
      </c>
      <c r="F59" t="s">
        <v>49</v>
      </c>
      <c r="G59" t="str">
        <f>HYPERLINK(_xlfn.CONCAT("https://tablet.otzar.org/",CHAR(35),"/book/147465/p/-1/t/1/fs/0/start/0/end/0/c"),"הקדמת הרמב""""ם לפירוש המשנה עם דרך הנשר")</f>
        <v>הקדמת הרמב""ם לפירוש המשנה עם דרך הנשר</v>
      </c>
      <c r="H59" t="str">
        <f>_xlfn.CONCAT("https://tablet.otzar.org/",CHAR(35),"/book/147465/p/-1/t/1/fs/0/start/0/end/0/c")</f>
        <v>https://tablet.otzar.org/#/book/147465/p/-1/t/1/fs/0/start/0/end/0/c</v>
      </c>
    </row>
    <row r="60" spans="1:8" x14ac:dyDescent="0.25">
      <c r="A60">
        <v>147489</v>
      </c>
      <c r="B60" t="s">
        <v>177</v>
      </c>
      <c r="C60" t="s">
        <v>178</v>
      </c>
      <c r="D60" t="s">
        <v>10</v>
      </c>
      <c r="E60" t="s">
        <v>65</v>
      </c>
      <c r="F60" t="s">
        <v>179</v>
      </c>
      <c r="G60" t="str">
        <f>HYPERLINK(_xlfn.CONCAT("https://tablet.otzar.org/",CHAR(35),"/book/147489/p/-1/t/1/fs/0/start/0/end/0/c"),"הראשון לשושלת בריסק")</f>
        <v>הראשון לשושלת בריסק</v>
      </c>
      <c r="H60" t="str">
        <f>_xlfn.CONCAT("https://tablet.otzar.org/",CHAR(35),"/book/147489/p/-1/t/1/fs/0/start/0/end/0/c")</f>
        <v>https://tablet.otzar.org/#/book/147489/p/-1/t/1/fs/0/start/0/end/0/c</v>
      </c>
    </row>
    <row r="61" spans="1:8" x14ac:dyDescent="0.25">
      <c r="A61">
        <v>147513</v>
      </c>
      <c r="B61" t="s">
        <v>180</v>
      </c>
      <c r="C61" t="s">
        <v>181</v>
      </c>
      <c r="D61" t="s">
        <v>10</v>
      </c>
      <c r="E61" t="s">
        <v>97</v>
      </c>
      <c r="F61" t="s">
        <v>78</v>
      </c>
      <c r="G61" t="str">
        <f>HYPERLINK(_xlfn.CONCAT("https://tablet.otzar.org/",CHAR(35),"/book/147513/p/-1/t/1/fs/0/start/0/end/0/c"),"הרי בשמים - ה (מכון ירושלים)")</f>
        <v>הרי בשמים - ה (מכון ירושלים)</v>
      </c>
      <c r="H61" t="str">
        <f>_xlfn.CONCAT("https://tablet.otzar.org/",CHAR(35),"/book/147513/p/-1/t/1/fs/0/start/0/end/0/c")</f>
        <v>https://tablet.otzar.org/#/book/147513/p/-1/t/1/fs/0/start/0/end/0/c</v>
      </c>
    </row>
    <row r="62" spans="1:8" x14ac:dyDescent="0.25">
      <c r="A62">
        <v>146637</v>
      </c>
      <c r="B62" t="s">
        <v>182</v>
      </c>
      <c r="C62" t="s">
        <v>183</v>
      </c>
      <c r="D62" t="s">
        <v>10</v>
      </c>
      <c r="E62" t="s">
        <v>184</v>
      </c>
      <c r="F62" t="s">
        <v>12</v>
      </c>
      <c r="G62" t="str">
        <f>HYPERLINK(_xlfn.CONCAT("https://tablet.otzar.org/",CHAR(35),"/book/146637/p/-1/t/1/fs/0/start/0/end/0/c"),"השג יד")</f>
        <v>השג יד</v>
      </c>
      <c r="H62" t="str">
        <f>_xlfn.CONCAT("https://tablet.otzar.org/",CHAR(35),"/book/146637/p/-1/t/1/fs/0/start/0/end/0/c")</f>
        <v>https://tablet.otzar.org/#/book/146637/p/-1/t/1/fs/0/start/0/end/0/c</v>
      </c>
    </row>
    <row r="63" spans="1:8" x14ac:dyDescent="0.25">
      <c r="A63">
        <v>147498</v>
      </c>
      <c r="B63" t="s">
        <v>185</v>
      </c>
      <c r="C63" t="s">
        <v>186</v>
      </c>
      <c r="D63" t="s">
        <v>10</v>
      </c>
      <c r="E63" t="s">
        <v>127</v>
      </c>
      <c r="F63" t="s">
        <v>78</v>
      </c>
      <c r="G63" t="str">
        <f>HYPERLINK(_xlfn.CONCAT("https://tablet.otzar.org/",CHAR(35),"/exKotar/147498"),"התשב""""ץ &lt;מכון ירושלים&gt;  - 5 כרכים")</f>
        <v>התשב""ץ &lt;מכון ירושלים&gt;  - 5 כרכים</v>
      </c>
      <c r="H63" t="str">
        <f>_xlfn.CONCAT("https://tablet.otzar.org/",CHAR(35),"/exKotar/147498")</f>
        <v>https://tablet.otzar.org/#/exKotar/147498</v>
      </c>
    </row>
    <row r="64" spans="1:8" x14ac:dyDescent="0.25">
      <c r="A64">
        <v>147475</v>
      </c>
      <c r="B64" t="s">
        <v>187</v>
      </c>
      <c r="C64" t="s">
        <v>188</v>
      </c>
      <c r="D64" t="s">
        <v>189</v>
      </c>
      <c r="E64" t="s">
        <v>190</v>
      </c>
      <c r="F64" t="s">
        <v>163</v>
      </c>
      <c r="G64" t="str">
        <f>HYPERLINK(_xlfn.CONCAT("https://tablet.otzar.org/",CHAR(35),"/book/147475/p/-1/t/1/fs/0/start/0/end/0/c"),"ויקח אברהם")</f>
        <v>ויקח אברהם</v>
      </c>
      <c r="H64" t="str">
        <f>_xlfn.CONCAT("https://tablet.otzar.org/",CHAR(35),"/book/147475/p/-1/t/1/fs/0/start/0/end/0/c")</f>
        <v>https://tablet.otzar.org/#/book/147475/p/-1/t/1/fs/0/start/0/end/0/c</v>
      </c>
    </row>
    <row r="65" spans="1:8" x14ac:dyDescent="0.25">
      <c r="A65">
        <v>147056</v>
      </c>
      <c r="B65" t="s">
        <v>191</v>
      </c>
      <c r="C65" t="s">
        <v>192</v>
      </c>
      <c r="D65" t="s">
        <v>10</v>
      </c>
      <c r="E65" t="s">
        <v>193</v>
      </c>
      <c r="F65" t="s">
        <v>78</v>
      </c>
      <c r="G65" t="str">
        <f>HYPERLINK(_xlfn.CONCAT("https://tablet.otzar.org/",CHAR(35),"/book/147056/p/-1/t/1/fs/0/start/0/end/0/c"),"זבחי צדק החדשות - ג")</f>
        <v>זבחי צדק החדשות - ג</v>
      </c>
      <c r="H65" t="str">
        <f>_xlfn.CONCAT("https://tablet.otzar.org/",CHAR(35),"/book/147056/p/-1/t/1/fs/0/start/0/end/0/c")</f>
        <v>https://tablet.otzar.org/#/book/147056/p/-1/t/1/fs/0/start/0/end/0/c</v>
      </c>
    </row>
    <row r="66" spans="1:8" x14ac:dyDescent="0.25">
      <c r="A66">
        <v>147494</v>
      </c>
      <c r="B66" t="s">
        <v>194</v>
      </c>
      <c r="C66" t="s">
        <v>195</v>
      </c>
      <c r="D66" t="s">
        <v>10</v>
      </c>
      <c r="E66" t="s">
        <v>84</v>
      </c>
      <c r="F66" t="s">
        <v>78</v>
      </c>
      <c r="G66" t="str">
        <f>HYPERLINK(_xlfn.CONCAT("https://tablet.otzar.org/",CHAR(35),"/exKotar/147494"),"זכר יהוסף &lt;מכון ירושלים&gt;  - 5 כרכים")</f>
        <v>זכר יהוסף &lt;מכון ירושלים&gt;  - 5 כרכים</v>
      </c>
      <c r="H66" t="str">
        <f>_xlfn.CONCAT("https://tablet.otzar.org/",CHAR(35),"/exKotar/147494")</f>
        <v>https://tablet.otzar.org/#/exKotar/147494</v>
      </c>
    </row>
    <row r="67" spans="1:8" x14ac:dyDescent="0.25">
      <c r="A67">
        <v>147046</v>
      </c>
      <c r="B67" t="s">
        <v>196</v>
      </c>
      <c r="C67" t="s">
        <v>197</v>
      </c>
      <c r="D67" t="s">
        <v>10</v>
      </c>
      <c r="E67" t="s">
        <v>117</v>
      </c>
      <c r="F67" t="s">
        <v>78</v>
      </c>
      <c r="G67" t="str">
        <f>HYPERLINK(_xlfn.CONCAT("https://tablet.otzar.org/",CHAR(35),"/book/147046/p/-1/t/1/fs/0/start/0/end/0/c"),"זכר יצחק השלם")</f>
        <v>זכר יצחק השלם</v>
      </c>
      <c r="H67" t="str">
        <f>_xlfn.CONCAT("https://tablet.otzar.org/",CHAR(35),"/book/147046/p/-1/t/1/fs/0/start/0/end/0/c")</f>
        <v>https://tablet.otzar.org/#/book/147046/p/-1/t/1/fs/0/start/0/end/0/c</v>
      </c>
    </row>
    <row r="68" spans="1:8" x14ac:dyDescent="0.25">
      <c r="A68">
        <v>147466</v>
      </c>
      <c r="B68" t="s">
        <v>198</v>
      </c>
      <c r="C68" t="s">
        <v>199</v>
      </c>
      <c r="D68" t="s">
        <v>10</v>
      </c>
      <c r="E68" t="s">
        <v>58</v>
      </c>
      <c r="F68" t="s">
        <v>78</v>
      </c>
      <c r="G68" t="str">
        <f>HYPERLINK(_xlfn.CONCAT("https://tablet.otzar.org/",CHAR(35),"/book/147466/p/-1/t/1/fs/0/start/0/end/0/c"),"זכרון יהודה &lt;מכון ירושלים&gt;")</f>
        <v>זכרון יהודה &lt;מכון ירושלים&gt;</v>
      </c>
      <c r="H68" t="str">
        <f>_xlfn.CONCAT("https://tablet.otzar.org/",CHAR(35),"/book/147466/p/-1/t/1/fs/0/start/0/end/0/c")</f>
        <v>https://tablet.otzar.org/#/book/147466/p/-1/t/1/fs/0/start/0/end/0/c</v>
      </c>
    </row>
    <row r="69" spans="1:8" x14ac:dyDescent="0.25">
      <c r="A69">
        <v>147530</v>
      </c>
      <c r="B69" t="s">
        <v>200</v>
      </c>
      <c r="C69" t="s">
        <v>201</v>
      </c>
      <c r="D69" t="s">
        <v>10</v>
      </c>
      <c r="E69" t="s">
        <v>202</v>
      </c>
      <c r="F69" t="s">
        <v>203</v>
      </c>
      <c r="G69" t="str">
        <f>HYPERLINK(_xlfn.CONCAT("https://tablet.otzar.org/",CHAR(35),"/exKotar/147530"),"חידושי הגרז""""ס - 2 כרכים")</f>
        <v>חידושי הגרז""ס - 2 כרכים</v>
      </c>
      <c r="H69" t="str">
        <f>_xlfn.CONCAT("https://tablet.otzar.org/",CHAR(35),"/exKotar/147530")</f>
        <v>https://tablet.otzar.org/#/exKotar/147530</v>
      </c>
    </row>
    <row r="70" spans="1:8" x14ac:dyDescent="0.25">
      <c r="A70">
        <v>146669</v>
      </c>
      <c r="B70" t="s">
        <v>204</v>
      </c>
      <c r="C70" t="s">
        <v>205</v>
      </c>
      <c r="D70" t="s">
        <v>10</v>
      </c>
      <c r="E70" t="s">
        <v>97</v>
      </c>
      <c r="F70" t="s">
        <v>34</v>
      </c>
      <c r="G70" t="str">
        <f>HYPERLINK(_xlfn.CONCAT("https://tablet.otzar.org/",CHAR(35),"/exKotar/146669"),"חידושי הגרז""""ר - 2 כרכים")</f>
        <v>חידושי הגרז""ר - 2 כרכים</v>
      </c>
      <c r="H70" t="str">
        <f>_xlfn.CONCAT("https://tablet.otzar.org/",CHAR(35),"/exKotar/146669")</f>
        <v>https://tablet.otzar.org/#/exKotar/146669</v>
      </c>
    </row>
    <row r="71" spans="1:8" x14ac:dyDescent="0.25">
      <c r="A71">
        <v>146659</v>
      </c>
      <c r="B71" t="s">
        <v>206</v>
      </c>
      <c r="C71" t="s">
        <v>207</v>
      </c>
      <c r="D71" t="s">
        <v>10</v>
      </c>
      <c r="E71" t="s">
        <v>42</v>
      </c>
      <c r="F71" t="s">
        <v>34</v>
      </c>
      <c r="G71" t="str">
        <f>HYPERLINK(_xlfn.CONCAT("https://tablet.otzar.org/",CHAR(35),"/book/146659/p/-1/t/1/fs/0/start/0/end/0/c"),"חידושי הלכות מהר""""ם חריף - שבת, פסחים, ביצה")</f>
        <v>חידושי הלכות מהר""ם חריף - שבת, פסחים, ביצה</v>
      </c>
      <c r="H71" t="str">
        <f>_xlfn.CONCAT("https://tablet.otzar.org/",CHAR(35),"/book/146659/p/-1/t/1/fs/0/start/0/end/0/c")</f>
        <v>https://tablet.otzar.org/#/book/146659/p/-1/t/1/fs/0/start/0/end/0/c</v>
      </c>
    </row>
    <row r="72" spans="1:8" x14ac:dyDescent="0.25">
      <c r="A72">
        <v>147360</v>
      </c>
      <c r="B72" t="s">
        <v>208</v>
      </c>
      <c r="C72" t="s">
        <v>209</v>
      </c>
      <c r="D72" t="s">
        <v>10</v>
      </c>
      <c r="E72" t="s">
        <v>127</v>
      </c>
      <c r="F72" t="s">
        <v>34</v>
      </c>
      <c r="G72" t="str">
        <f>HYPERLINK(_xlfn.CONCAT("https://tablet.otzar.org/",CHAR(35),"/exKotar/147360"),"חידושי המהר""""ם שיק - 9 כרכים")</f>
        <v>חידושי המהר""ם שיק - 9 כרכים</v>
      </c>
      <c r="H72" t="str">
        <f>_xlfn.CONCAT("https://tablet.otzar.org/",CHAR(35),"/exKotar/147360")</f>
        <v>https://tablet.otzar.org/#/exKotar/147360</v>
      </c>
    </row>
    <row r="73" spans="1:8" x14ac:dyDescent="0.25">
      <c r="A73">
        <v>146634</v>
      </c>
      <c r="B73" t="s">
        <v>210</v>
      </c>
      <c r="C73" t="s">
        <v>211</v>
      </c>
      <c r="D73" t="s">
        <v>10</v>
      </c>
      <c r="E73" t="s">
        <v>97</v>
      </c>
      <c r="F73" t="s">
        <v>34</v>
      </c>
      <c r="G73" t="str">
        <f>HYPERLINK(_xlfn.CONCAT("https://tablet.otzar.org/",CHAR(35),"/book/146634/p/-1/t/1/fs/0/start/0/end/0/c"),"חידושי הר""""א על מסכת נדה")</f>
        <v>חידושי הר""א על מסכת נדה</v>
      </c>
      <c r="H73" t="str">
        <f>_xlfn.CONCAT("https://tablet.otzar.org/",CHAR(35),"/book/146634/p/-1/t/1/fs/0/start/0/end/0/c")</f>
        <v>https://tablet.otzar.org/#/book/146634/p/-1/t/1/fs/0/start/0/end/0/c</v>
      </c>
    </row>
    <row r="74" spans="1:8" x14ac:dyDescent="0.25">
      <c r="A74">
        <v>146660</v>
      </c>
      <c r="B74" t="s">
        <v>212</v>
      </c>
      <c r="C74" t="s">
        <v>213</v>
      </c>
      <c r="D74" t="s">
        <v>10</v>
      </c>
      <c r="E74" t="s">
        <v>193</v>
      </c>
      <c r="F74" t="s">
        <v>34</v>
      </c>
      <c r="G74" t="str">
        <f>HYPERLINK(_xlfn.CONCAT("https://tablet.otzar.org/",CHAR(35),"/book/146660/p/-1/t/1/fs/0/start/0/end/0/c"),"חידושי הר""""י בירב, תלמיד הרשב""""א")</f>
        <v>חידושי הר""י בירב, תלמיד הרשב""א</v>
      </c>
      <c r="H74" t="str">
        <f>_xlfn.CONCAT("https://tablet.otzar.org/",CHAR(35),"/book/146660/p/-1/t/1/fs/0/start/0/end/0/c")</f>
        <v>https://tablet.otzar.org/#/book/146660/p/-1/t/1/fs/0/start/0/end/0/c</v>
      </c>
    </row>
    <row r="75" spans="1:8" x14ac:dyDescent="0.25">
      <c r="A75">
        <v>146666</v>
      </c>
      <c r="B75" t="s">
        <v>214</v>
      </c>
      <c r="C75" t="s">
        <v>215</v>
      </c>
      <c r="D75" t="s">
        <v>10</v>
      </c>
      <c r="E75" t="s">
        <v>97</v>
      </c>
      <c r="F75" t="s">
        <v>216</v>
      </c>
      <c r="G75" t="str">
        <f>HYPERLINK(_xlfn.CONCAT("https://tablet.otzar.org/",CHAR(35),"/book/146666/p/-1/t/1/fs/0/start/0/end/0/c"),"חידושי ופירושי המהרי""""ק")</f>
        <v>חידושי ופירושי המהרי""ק</v>
      </c>
      <c r="H75" t="str">
        <f>_xlfn.CONCAT("https://tablet.otzar.org/",CHAR(35),"/book/146666/p/-1/t/1/fs/0/start/0/end/0/c")</f>
        <v>https://tablet.otzar.org/#/book/146666/p/-1/t/1/fs/0/start/0/end/0/c</v>
      </c>
    </row>
    <row r="76" spans="1:8" x14ac:dyDescent="0.25">
      <c r="A76">
        <v>147052</v>
      </c>
      <c r="B76" t="s">
        <v>217</v>
      </c>
      <c r="C76" t="s">
        <v>218</v>
      </c>
      <c r="D76" t="s">
        <v>10</v>
      </c>
      <c r="E76" t="s">
        <v>202</v>
      </c>
      <c r="F76" t="s">
        <v>34</v>
      </c>
      <c r="G76" t="str">
        <f>HYPERLINK(_xlfn.CONCAT("https://tablet.otzar.org/",CHAR(35),"/book/147052/p/-1/t/1/fs/0/start/0/end/0/c"),"חידושי חתם סופר ומהר""""ם שיק - פסחים")</f>
        <v>חידושי חתם סופר ומהר""ם שיק - פסחים</v>
      </c>
      <c r="H76" t="str">
        <f>_xlfn.CONCAT("https://tablet.otzar.org/",CHAR(35),"/book/147052/p/-1/t/1/fs/0/start/0/end/0/c")</f>
        <v>https://tablet.otzar.org/#/book/147052/p/-1/t/1/fs/0/start/0/end/0/c</v>
      </c>
    </row>
    <row r="77" spans="1:8" x14ac:dyDescent="0.25">
      <c r="A77">
        <v>157094</v>
      </c>
      <c r="B77" t="s">
        <v>219</v>
      </c>
      <c r="C77" t="s">
        <v>220</v>
      </c>
      <c r="D77" t="s">
        <v>10</v>
      </c>
      <c r="E77" t="s">
        <v>131</v>
      </c>
      <c r="F77" t="s">
        <v>34</v>
      </c>
      <c r="G77" t="str">
        <f>HYPERLINK(_xlfn.CONCAT("https://tablet.otzar.org/",CHAR(35),"/book/157094/p/-1/t/1/fs/0/start/0/end/0/c"),"חידושי יעב""""ץ - מסכת פסחים וחידושי סוגיות")</f>
        <v>חידושי יעב""ץ - מסכת פסחים וחידושי סוגיות</v>
      </c>
      <c r="H77" t="str">
        <f>_xlfn.CONCAT("https://tablet.otzar.org/",CHAR(35),"/book/157094/p/-1/t/1/fs/0/start/0/end/0/c")</f>
        <v>https://tablet.otzar.org/#/book/157094/p/-1/t/1/fs/0/start/0/end/0/c</v>
      </c>
    </row>
    <row r="78" spans="1:8" x14ac:dyDescent="0.25">
      <c r="A78">
        <v>147054</v>
      </c>
      <c r="B78" t="s">
        <v>221</v>
      </c>
      <c r="C78" t="s">
        <v>222</v>
      </c>
      <c r="D78" t="s">
        <v>10</v>
      </c>
      <c r="E78" t="s">
        <v>65</v>
      </c>
      <c r="F78" t="s">
        <v>34</v>
      </c>
      <c r="G78" t="str">
        <f>HYPERLINK(_xlfn.CONCAT("https://tablet.otzar.org/",CHAR(35),"/book/147054/p/-1/t/1/fs/0/start/0/end/0/c"),"חידושי מהר""""י שפירא - נדה")</f>
        <v>חידושי מהר""י שפירא - נדה</v>
      </c>
      <c r="H78" t="str">
        <f>_xlfn.CONCAT("https://tablet.otzar.org/",CHAR(35),"/book/147054/p/-1/t/1/fs/0/start/0/end/0/c")</f>
        <v>https://tablet.otzar.org/#/book/147054/p/-1/t/1/fs/0/start/0/end/0/c</v>
      </c>
    </row>
    <row r="79" spans="1:8" x14ac:dyDescent="0.25">
      <c r="A79">
        <v>147433</v>
      </c>
      <c r="B79" t="s">
        <v>223</v>
      </c>
      <c r="C79" t="s">
        <v>224</v>
      </c>
      <c r="D79" t="s">
        <v>10</v>
      </c>
      <c r="E79" t="s">
        <v>48</v>
      </c>
      <c r="F79" t="s">
        <v>34</v>
      </c>
      <c r="G79" t="str">
        <f>HYPERLINK(_xlfn.CONCAT("https://tablet.otzar.org/",CHAR(35),"/exKotar/147433"),"חידושי מהר""""ל מפראג - 3 כרכים")</f>
        <v>חידושי מהר""ל מפראג - 3 כרכים</v>
      </c>
      <c r="H79" t="str">
        <f>_xlfn.CONCAT("https://tablet.otzar.org/",CHAR(35),"/exKotar/147433")</f>
        <v>https://tablet.otzar.org/#/exKotar/147433</v>
      </c>
    </row>
    <row r="80" spans="1:8" x14ac:dyDescent="0.25">
      <c r="A80">
        <v>147049</v>
      </c>
      <c r="B80" t="s">
        <v>225</v>
      </c>
      <c r="C80" t="s">
        <v>162</v>
      </c>
      <c r="D80" t="s">
        <v>10</v>
      </c>
      <c r="E80" t="s">
        <v>61</v>
      </c>
      <c r="F80" t="s">
        <v>34</v>
      </c>
      <c r="G80" t="str">
        <f>HYPERLINK(_xlfn.CONCAT("https://tablet.otzar.org/",CHAR(35),"/exKotar/147049"),"חידושי מהר""""ם בנעט - 2 כרכים")</f>
        <v>חידושי מהר""ם בנעט - 2 כרכים</v>
      </c>
      <c r="H80" t="str">
        <f>_xlfn.CONCAT("https://tablet.otzar.org/",CHAR(35),"/exKotar/147049")</f>
        <v>https://tablet.otzar.org/#/exKotar/147049</v>
      </c>
    </row>
    <row r="81" spans="1:8" x14ac:dyDescent="0.25">
      <c r="A81">
        <v>147507</v>
      </c>
      <c r="B81" t="s">
        <v>226</v>
      </c>
      <c r="C81" t="s">
        <v>227</v>
      </c>
      <c r="D81" t="s">
        <v>10</v>
      </c>
      <c r="E81" t="s">
        <v>202</v>
      </c>
      <c r="F81" t="s">
        <v>228</v>
      </c>
      <c r="G81" t="str">
        <f>HYPERLINK(_xlfn.CONCAT("https://tablet.otzar.org/",CHAR(35),"/exKotar/147507"),"חידושי רבי אליעזר שמחה - 2 כרכים")</f>
        <v>חידושי רבי אליעזר שמחה - 2 כרכים</v>
      </c>
      <c r="H81" t="str">
        <f>_xlfn.CONCAT("https://tablet.otzar.org/",CHAR(35),"/exKotar/147507")</f>
        <v>https://tablet.otzar.org/#/exKotar/147507</v>
      </c>
    </row>
    <row r="82" spans="1:8" x14ac:dyDescent="0.25">
      <c r="A82">
        <v>147363</v>
      </c>
      <c r="B82" t="s">
        <v>229</v>
      </c>
      <c r="C82" t="s">
        <v>230</v>
      </c>
      <c r="D82" t="s">
        <v>10</v>
      </c>
      <c r="E82" t="s">
        <v>153</v>
      </c>
      <c r="F82" t="s">
        <v>34</v>
      </c>
      <c r="G82" t="str">
        <f>HYPERLINK(_xlfn.CONCAT("https://tablet.otzar.org/",CHAR(35),"/book/147363/p/-1/t/1/fs/0/start/0/end/0/c"),"חידושי רבי בונים איגר זצ""""ל - נשים")</f>
        <v>חידושי רבי בונים איגר זצ""ל - נשים</v>
      </c>
      <c r="H82" t="str">
        <f>_xlfn.CONCAT("https://tablet.otzar.org/",CHAR(35),"/book/147363/p/-1/t/1/fs/0/start/0/end/0/c")</f>
        <v>https://tablet.otzar.org/#/book/147363/p/-1/t/1/fs/0/start/0/end/0/c</v>
      </c>
    </row>
    <row r="83" spans="1:8" x14ac:dyDescent="0.25">
      <c r="A83">
        <v>147362</v>
      </c>
      <c r="B83" t="s">
        <v>231</v>
      </c>
      <c r="C83" t="s">
        <v>232</v>
      </c>
      <c r="D83" t="s">
        <v>10</v>
      </c>
      <c r="E83" t="s">
        <v>233</v>
      </c>
      <c r="F83" t="s">
        <v>34</v>
      </c>
      <c r="G83" t="str">
        <f>HYPERLINK(_xlfn.CONCAT("https://tablet.otzar.org/",CHAR(35),"/exKotar/147362"),"חידושי רבי יהונתן - 2 כרכים")</f>
        <v>חידושי רבי יהונתן - 2 כרכים</v>
      </c>
      <c r="H83" t="str">
        <f>_xlfn.CONCAT("https://tablet.otzar.org/",CHAR(35),"/exKotar/147362")</f>
        <v>https://tablet.otzar.org/#/exKotar/147362</v>
      </c>
    </row>
    <row r="84" spans="1:8" x14ac:dyDescent="0.25">
      <c r="A84">
        <v>157154</v>
      </c>
      <c r="B84" t="s">
        <v>234</v>
      </c>
      <c r="C84" t="s">
        <v>235</v>
      </c>
      <c r="D84" t="s">
        <v>10</v>
      </c>
      <c r="E84" t="s">
        <v>131</v>
      </c>
      <c r="F84" t="s">
        <v>34</v>
      </c>
      <c r="G84" t="str">
        <f>HYPERLINK(_xlfn.CONCAT("https://tablet.otzar.org/",CHAR(35),"/exKotar/157154"),"חידושי רבי ישעיה - 3 כרכים")</f>
        <v>חידושי רבי ישעיה - 3 כרכים</v>
      </c>
      <c r="H84" t="str">
        <f>_xlfn.CONCAT("https://tablet.otzar.org/",CHAR(35),"/exKotar/157154")</f>
        <v>https://tablet.otzar.org/#/exKotar/157154</v>
      </c>
    </row>
    <row r="85" spans="1:8" x14ac:dyDescent="0.25">
      <c r="A85">
        <v>147364</v>
      </c>
      <c r="B85" t="s">
        <v>236</v>
      </c>
      <c r="C85" t="s">
        <v>237</v>
      </c>
      <c r="D85" t="s">
        <v>10</v>
      </c>
      <c r="E85" t="s">
        <v>233</v>
      </c>
      <c r="F85" t="s">
        <v>34</v>
      </c>
      <c r="G85" t="str">
        <f>HYPERLINK(_xlfn.CONCAT("https://tablet.otzar.org/",CHAR(35),"/exKotar/147364"),"חידושי רבי עזריאל - 3 כרכים")</f>
        <v>חידושי רבי עזריאל - 3 כרכים</v>
      </c>
      <c r="H85" t="str">
        <f>_xlfn.CONCAT("https://tablet.otzar.org/",CHAR(35),"/exKotar/147364")</f>
        <v>https://tablet.otzar.org/#/exKotar/147364</v>
      </c>
    </row>
    <row r="86" spans="1:8" x14ac:dyDescent="0.25">
      <c r="A86">
        <v>146650</v>
      </c>
      <c r="B86" t="s">
        <v>238</v>
      </c>
      <c r="C86" t="s">
        <v>239</v>
      </c>
      <c r="D86" t="s">
        <v>10</v>
      </c>
      <c r="E86" t="s">
        <v>39</v>
      </c>
      <c r="F86" t="s">
        <v>34</v>
      </c>
      <c r="G86" t="str">
        <f>HYPERLINK(_xlfn.CONCAT("https://tablet.otzar.org/",CHAR(35),"/exKotar/146650"),"חידושי רבינו אליהו גוטמכר זצ""""ל - 4 כרכים")</f>
        <v>חידושי רבינו אליהו גוטמכר זצ""ל - 4 כרכים</v>
      </c>
      <c r="H86" t="str">
        <f>_xlfn.CONCAT("https://tablet.otzar.org/",CHAR(35),"/exKotar/146650")</f>
        <v>https://tablet.otzar.org/#/exKotar/146650</v>
      </c>
    </row>
    <row r="87" spans="1:8" x14ac:dyDescent="0.25">
      <c r="A87">
        <v>146661</v>
      </c>
      <c r="B87" t="s">
        <v>240</v>
      </c>
      <c r="C87" t="s">
        <v>241</v>
      </c>
      <c r="D87" t="s">
        <v>10</v>
      </c>
      <c r="E87" t="s">
        <v>153</v>
      </c>
      <c r="F87" t="s">
        <v>34</v>
      </c>
      <c r="G87" t="str">
        <f>HYPERLINK(_xlfn.CONCAT("https://tablet.otzar.org/",CHAR(35),"/book/146661/p/-1/t/1/fs/0/start/0/end/0/c"),"חידושי רבינו דוד - פסחים")</f>
        <v>חידושי רבינו דוד - פסחים</v>
      </c>
      <c r="H87" t="str">
        <f>_xlfn.CONCAT("https://tablet.otzar.org/",CHAR(35),"/book/146661/p/-1/t/1/fs/0/start/0/end/0/c")</f>
        <v>https://tablet.otzar.org/#/book/146661/p/-1/t/1/fs/0/start/0/end/0/c</v>
      </c>
    </row>
    <row r="88" spans="1:8" x14ac:dyDescent="0.25">
      <c r="A88">
        <v>146670</v>
      </c>
      <c r="B88" t="s">
        <v>242</v>
      </c>
      <c r="C88" t="s">
        <v>243</v>
      </c>
      <c r="D88" t="s">
        <v>10</v>
      </c>
      <c r="E88" t="s">
        <v>244</v>
      </c>
      <c r="F88" t="s">
        <v>49</v>
      </c>
      <c r="G88" t="str">
        <f>HYPERLINK(_xlfn.CONCAT("https://tablet.otzar.org/",CHAR(35),"/book/146670/p/-1/t/1/fs/0/start/0/end/0/c"),"חידושי רבינו יעקב מלובלין ורבינו העשיל מקראקא")</f>
        <v>חידושי רבינו יעקב מלובלין ורבינו העשיל מקראקא</v>
      </c>
      <c r="H88" t="str">
        <f>_xlfn.CONCAT("https://tablet.otzar.org/",CHAR(35),"/book/146670/p/-1/t/1/fs/0/start/0/end/0/c")</f>
        <v>https://tablet.otzar.org/#/book/146670/p/-1/t/1/fs/0/start/0/end/0/c</v>
      </c>
    </row>
    <row r="89" spans="1:8" x14ac:dyDescent="0.25">
      <c r="A89">
        <v>146658</v>
      </c>
      <c r="B89" t="s">
        <v>245</v>
      </c>
      <c r="C89" t="s">
        <v>246</v>
      </c>
      <c r="D89" t="s">
        <v>10</v>
      </c>
      <c r="E89" t="s">
        <v>244</v>
      </c>
      <c r="F89" t="s">
        <v>34</v>
      </c>
      <c r="G89" t="str">
        <f>HYPERLINK(_xlfn.CONCAT("https://tablet.otzar.org/",CHAR(35),"/book/146658/p/-1/t/1/fs/0/start/0/end/0/c"),"חידושי רבינו יצחק ב""""ר אברהם מנרבונא")</f>
        <v>חידושי רבינו יצחק ב""ר אברהם מנרבונא</v>
      </c>
      <c r="H89" t="str">
        <f>_xlfn.CONCAT("https://tablet.otzar.org/",CHAR(35),"/book/146658/p/-1/t/1/fs/0/start/0/end/0/c")</f>
        <v>https://tablet.otzar.org/#/book/146658/p/-1/t/1/fs/0/start/0/end/0/c</v>
      </c>
    </row>
    <row r="90" spans="1:8" x14ac:dyDescent="0.25">
      <c r="A90">
        <v>147457</v>
      </c>
      <c r="B90" t="s">
        <v>247</v>
      </c>
      <c r="C90" t="s">
        <v>248</v>
      </c>
      <c r="D90" t="s">
        <v>10</v>
      </c>
      <c r="E90" t="s">
        <v>61</v>
      </c>
      <c r="F90" t="s">
        <v>34</v>
      </c>
      <c r="G90" t="str">
        <f>HYPERLINK(_xlfn.CONCAT("https://tablet.otzar.org/",CHAR(35),"/exKotar/147457"),"חידושי רבינו משה קזיס - 3 כרכים")</f>
        <v>חידושי רבינו משה קזיס - 3 כרכים</v>
      </c>
      <c r="H90" t="str">
        <f>_xlfn.CONCAT("https://tablet.otzar.org/",CHAR(35),"/exKotar/147457")</f>
        <v>https://tablet.otzar.org/#/exKotar/147457</v>
      </c>
    </row>
    <row r="91" spans="1:8" x14ac:dyDescent="0.25">
      <c r="A91">
        <v>147477</v>
      </c>
      <c r="B91" t="s">
        <v>249</v>
      </c>
      <c r="C91" t="s">
        <v>126</v>
      </c>
      <c r="D91" t="s">
        <v>10</v>
      </c>
      <c r="E91" t="s">
        <v>166</v>
      </c>
      <c r="F91" t="s">
        <v>250</v>
      </c>
      <c r="G91" t="str">
        <f>HYPERLINK(_xlfn.CONCAT("https://tablet.otzar.org/",CHAR(35),"/book/147477/p/-1/t/1/fs/0/start/0/end/0/c"),"חיי עולם נטע")</f>
        <v>חיי עולם נטע</v>
      </c>
      <c r="H91" t="str">
        <f>_xlfn.CONCAT("https://tablet.otzar.org/",CHAR(35),"/book/147477/p/-1/t/1/fs/0/start/0/end/0/c")</f>
        <v>https://tablet.otzar.org/#/book/147477/p/-1/t/1/fs/0/start/0/end/0/c</v>
      </c>
    </row>
    <row r="92" spans="1:8" x14ac:dyDescent="0.25">
      <c r="A92">
        <v>147506</v>
      </c>
      <c r="B92" t="s">
        <v>251</v>
      </c>
      <c r="C92" t="s">
        <v>252</v>
      </c>
      <c r="D92" t="s">
        <v>10</v>
      </c>
      <c r="E92" t="s">
        <v>153</v>
      </c>
      <c r="F92" t="s">
        <v>253</v>
      </c>
      <c r="G92" t="str">
        <f>HYPERLINK(_xlfn.CONCAT("https://tablet.otzar.org/",CHAR(35),"/book/147506/p/-1/t/1/fs/0/start/0/end/0/c"),"חכמי הונגריה והספרות התורנית בה")</f>
        <v>חכמי הונגריה והספרות התורנית בה</v>
      </c>
      <c r="H92" t="str">
        <f>_xlfn.CONCAT("https://tablet.otzar.org/",CHAR(35),"/book/147506/p/-1/t/1/fs/0/start/0/end/0/c")</f>
        <v>https://tablet.otzar.org/#/book/147506/p/-1/t/1/fs/0/start/0/end/0/c</v>
      </c>
    </row>
    <row r="93" spans="1:8" x14ac:dyDescent="0.25">
      <c r="A93">
        <v>146644</v>
      </c>
      <c r="B93" t="s">
        <v>254</v>
      </c>
      <c r="C93" t="s">
        <v>252</v>
      </c>
      <c r="D93" t="s">
        <v>10</v>
      </c>
      <c r="E93" t="s">
        <v>244</v>
      </c>
      <c r="F93" t="s">
        <v>179</v>
      </c>
      <c r="G93" t="str">
        <f>HYPERLINK(_xlfn.CONCAT("https://tablet.otzar.org/",CHAR(35),"/book/146644/p/-1/t/1/fs/0/start/0/end/0/c"),"חכמי טראנסילוואניה")</f>
        <v>חכמי טראנסילוואניה</v>
      </c>
      <c r="H93" t="str">
        <f>_xlfn.CONCAT("https://tablet.otzar.org/",CHAR(35),"/book/146644/p/-1/t/1/fs/0/start/0/end/0/c")</f>
        <v>https://tablet.otzar.org/#/book/146644/p/-1/t/1/fs/0/start/0/end/0/c</v>
      </c>
    </row>
    <row r="94" spans="1:8" x14ac:dyDescent="0.25">
      <c r="A94">
        <v>157076</v>
      </c>
      <c r="B94" t="s">
        <v>255</v>
      </c>
      <c r="C94" t="s">
        <v>232</v>
      </c>
      <c r="D94" t="s">
        <v>10</v>
      </c>
      <c r="E94" t="s">
        <v>131</v>
      </c>
      <c r="F94" t="s">
        <v>29</v>
      </c>
      <c r="G94" t="str">
        <f>HYPERLINK(_xlfn.CONCAT("https://tablet.otzar.org/",CHAR(35),"/exKotar/157076"),"חמשה חומשי תורה עם פירושי רבינו יהונתן - 5 כרכים")</f>
        <v>חמשה חומשי תורה עם פירושי רבינו יהונתן - 5 כרכים</v>
      </c>
      <c r="H94" t="str">
        <f>_xlfn.CONCAT("https://tablet.otzar.org/",CHAR(35),"/exKotar/157076")</f>
        <v>https://tablet.otzar.org/#/exKotar/157076</v>
      </c>
    </row>
    <row r="95" spans="1:8" x14ac:dyDescent="0.25">
      <c r="A95">
        <v>149854</v>
      </c>
      <c r="B95" t="s">
        <v>256</v>
      </c>
      <c r="C95" t="s">
        <v>257</v>
      </c>
      <c r="D95" t="s">
        <v>10</v>
      </c>
      <c r="E95" t="s">
        <v>58</v>
      </c>
      <c r="F95" t="s">
        <v>140</v>
      </c>
      <c r="G95" t="str">
        <f>HYPERLINK(_xlfn.CONCAT("https://tablet.otzar.org/",CHAR(35),"/book/149854/p/-1/t/1/fs/0/start/0/end/0/c"),"חשבונות של מצוה")</f>
        <v>חשבונות של מצוה</v>
      </c>
      <c r="H95" t="str">
        <f>_xlfn.CONCAT("https://tablet.otzar.org/",CHAR(35),"/book/149854/p/-1/t/1/fs/0/start/0/end/0/c")</f>
        <v>https://tablet.otzar.org/#/book/149854/p/-1/t/1/fs/0/start/0/end/0/c</v>
      </c>
    </row>
    <row r="96" spans="1:8" x14ac:dyDescent="0.25">
      <c r="A96">
        <v>610249</v>
      </c>
      <c r="B96" t="s">
        <v>258</v>
      </c>
      <c r="C96" t="s">
        <v>259</v>
      </c>
      <c r="D96" t="s">
        <v>10</v>
      </c>
      <c r="E96" t="s">
        <v>36</v>
      </c>
      <c r="F96" t="s">
        <v>91</v>
      </c>
      <c r="G96" t="str">
        <f>HYPERLINK(_xlfn.CONCAT("https://tablet.otzar.org/",CHAR(35),"/exKotar/610249"),"טור שלחן ערוך השלם - 8 כרכים")</f>
        <v>טור שלחן ערוך השלם - 8 כרכים</v>
      </c>
      <c r="H96" t="str">
        <f>_xlfn.CONCAT("https://tablet.otzar.org/",CHAR(35),"/exKotar/610249")</f>
        <v>https://tablet.otzar.org/#/exKotar/610249</v>
      </c>
    </row>
    <row r="97" spans="1:8" x14ac:dyDescent="0.25">
      <c r="A97">
        <v>175483</v>
      </c>
      <c r="B97" t="s">
        <v>260</v>
      </c>
      <c r="C97" t="s">
        <v>261</v>
      </c>
      <c r="D97" t="s">
        <v>10</v>
      </c>
      <c r="E97" t="s">
        <v>11</v>
      </c>
      <c r="F97" t="s">
        <v>43</v>
      </c>
      <c r="G97" t="str">
        <f>HYPERLINK(_xlfn.CONCAT("https://tablet.otzar.org/",CHAR(35),"/book/175483/p/-1/t/1/fs/0/start/0/end/0/c"),"יד אלימלך")</f>
        <v>יד אלימלך</v>
      </c>
      <c r="H97" t="str">
        <f>_xlfn.CONCAT("https://tablet.otzar.org/",CHAR(35),"/book/175483/p/-1/t/1/fs/0/start/0/end/0/c")</f>
        <v>https://tablet.otzar.org/#/book/175483/p/-1/t/1/fs/0/start/0/end/0/c</v>
      </c>
    </row>
    <row r="98" spans="1:8" x14ac:dyDescent="0.25">
      <c r="A98">
        <v>147467</v>
      </c>
      <c r="B98" t="s">
        <v>262</v>
      </c>
      <c r="C98" t="s">
        <v>263</v>
      </c>
      <c r="D98" t="s">
        <v>10</v>
      </c>
      <c r="E98" t="s">
        <v>65</v>
      </c>
      <c r="F98" t="s">
        <v>91</v>
      </c>
      <c r="G98" t="str">
        <f>HYPERLINK(_xlfn.CONCAT("https://tablet.otzar.org/",CHAR(35),"/exKotar/147467"),"יד אליעזר &lt;מכון ירושלים&gt;  - 2 כרכים")</f>
        <v>יד אליעזר &lt;מכון ירושלים&gt;  - 2 כרכים</v>
      </c>
      <c r="H98" t="str">
        <f>_xlfn.CONCAT("https://tablet.otzar.org/",CHAR(35),"/exKotar/147467")</f>
        <v>https://tablet.otzar.org/#/exKotar/147467</v>
      </c>
    </row>
    <row r="99" spans="1:8" x14ac:dyDescent="0.25">
      <c r="A99">
        <v>610236</v>
      </c>
      <c r="B99" t="s">
        <v>264</v>
      </c>
      <c r="C99" t="s">
        <v>265</v>
      </c>
      <c r="D99" t="s">
        <v>10</v>
      </c>
      <c r="E99" t="s">
        <v>36</v>
      </c>
      <c r="F99" t="s">
        <v>34</v>
      </c>
      <c r="G99" t="str">
        <f>HYPERLINK(_xlfn.CONCAT("https://tablet.otzar.org/",CHAR(35),"/exKotar/610236"),"יד דוד - 17 כרכים")</f>
        <v>יד דוד - 17 כרכים</v>
      </c>
      <c r="H99" t="str">
        <f>_xlfn.CONCAT("https://tablet.otzar.org/",CHAR(35),"/exKotar/610236")</f>
        <v>https://tablet.otzar.org/#/exKotar/610236</v>
      </c>
    </row>
    <row r="100" spans="1:8" x14ac:dyDescent="0.25">
      <c r="A100">
        <v>147387</v>
      </c>
      <c r="B100" t="s">
        <v>266</v>
      </c>
      <c r="C100" t="s">
        <v>267</v>
      </c>
      <c r="D100" t="s">
        <v>10</v>
      </c>
      <c r="E100" t="s">
        <v>233</v>
      </c>
      <c r="F100" t="s">
        <v>49</v>
      </c>
      <c r="G100" t="str">
        <f>HYPERLINK(_xlfn.CONCAT("https://tablet.otzar.org/",CHAR(35),"/exKotar/147387"),"יד המלך &lt;מכון ירושלים&gt;  - 2 כרכים")</f>
        <v>יד המלך &lt;מכון ירושלים&gt;  - 2 כרכים</v>
      </c>
      <c r="H100" t="str">
        <f>_xlfn.CONCAT("https://tablet.otzar.org/",CHAR(35),"/exKotar/147387")</f>
        <v>https://tablet.otzar.org/#/exKotar/147387</v>
      </c>
    </row>
    <row r="101" spans="1:8" x14ac:dyDescent="0.25">
      <c r="A101">
        <v>610237</v>
      </c>
      <c r="B101" t="s">
        <v>268</v>
      </c>
      <c r="C101" t="s">
        <v>269</v>
      </c>
      <c r="D101" t="s">
        <v>270</v>
      </c>
      <c r="E101" t="s">
        <v>36</v>
      </c>
      <c r="G101" t="str">
        <f>HYPERLINK(_xlfn.CONCAT("https://tablet.otzar.org/",CHAR(35),"/exKotar/610237"),"יד מלאכי &lt;מכון ירושלים&gt;  - 3 כרכים")</f>
        <v>יד מלאכי &lt;מכון ירושלים&gt;  - 3 כרכים</v>
      </c>
      <c r="H101" t="str">
        <f>_xlfn.CONCAT("https://tablet.otzar.org/",CHAR(35),"/exKotar/610237")</f>
        <v>https://tablet.otzar.org/#/exKotar/610237</v>
      </c>
    </row>
    <row r="102" spans="1:8" x14ac:dyDescent="0.25">
      <c r="A102">
        <v>186817</v>
      </c>
      <c r="B102" t="s">
        <v>271</v>
      </c>
      <c r="C102" t="s">
        <v>272</v>
      </c>
      <c r="D102" t="s">
        <v>10</v>
      </c>
      <c r="E102" t="s">
        <v>273</v>
      </c>
      <c r="F102" t="s">
        <v>274</v>
      </c>
      <c r="G102" t="str">
        <f>HYPERLINK(_xlfn.CONCAT("https://tablet.otzar.org/",CHAR(35),"/book/186817/p/-1/t/1/fs/0/start/0/end/0/c"),"כאיל תערוג - אפיקי מים")</f>
        <v>כאיל תערוג - אפיקי מים</v>
      </c>
      <c r="H102" t="str">
        <f>_xlfn.CONCAT("https://tablet.otzar.org/",CHAR(35),"/book/186817/p/-1/t/1/fs/0/start/0/end/0/c")</f>
        <v>https://tablet.otzar.org/#/book/186817/p/-1/t/1/fs/0/start/0/end/0/c</v>
      </c>
    </row>
    <row r="103" spans="1:8" x14ac:dyDescent="0.25">
      <c r="A103">
        <v>147538</v>
      </c>
      <c r="B103" t="s">
        <v>275</v>
      </c>
      <c r="C103" t="s">
        <v>272</v>
      </c>
      <c r="D103" t="s">
        <v>10</v>
      </c>
      <c r="E103" t="s">
        <v>77</v>
      </c>
      <c r="F103" t="s">
        <v>163</v>
      </c>
      <c r="G103" t="str">
        <f>HYPERLINK(_xlfn.CONCAT("https://tablet.otzar.org/",CHAR(35),"/book/147538/p/-1/t/1/fs/0/start/0/end/0/c"),"כי בא מועד")</f>
        <v>כי בא מועד</v>
      </c>
      <c r="H103" t="str">
        <f>_xlfn.CONCAT("https://tablet.otzar.org/",CHAR(35),"/book/147538/p/-1/t/1/fs/0/start/0/end/0/c")</f>
        <v>https://tablet.otzar.org/#/book/147538/p/-1/t/1/fs/0/start/0/end/0/c</v>
      </c>
    </row>
    <row r="104" spans="1:8" x14ac:dyDescent="0.25">
      <c r="A104">
        <v>147471</v>
      </c>
      <c r="B104" t="s">
        <v>276</v>
      </c>
      <c r="C104" t="s">
        <v>277</v>
      </c>
      <c r="D104" t="s">
        <v>10</v>
      </c>
      <c r="E104" t="s">
        <v>90</v>
      </c>
      <c r="F104" t="s">
        <v>12</v>
      </c>
      <c r="G104" t="str">
        <f>HYPERLINK(_xlfn.CONCAT("https://tablet.otzar.org/",CHAR(35),"/exKotar/147471"),"כתבי רבינו יצחק אבוהב (דה פונסקה) - 3 כרכים")</f>
        <v>כתבי רבינו יצחק אבוהב (דה פונסקה) - 3 כרכים</v>
      </c>
      <c r="H104" t="str">
        <f>_xlfn.CONCAT("https://tablet.otzar.org/",CHAR(35),"/exKotar/147471")</f>
        <v>https://tablet.otzar.org/#/exKotar/147471</v>
      </c>
    </row>
    <row r="105" spans="1:8" x14ac:dyDescent="0.25">
      <c r="A105">
        <v>147450</v>
      </c>
      <c r="B105" t="s">
        <v>278</v>
      </c>
      <c r="C105" t="s">
        <v>279</v>
      </c>
      <c r="D105" t="s">
        <v>10</v>
      </c>
      <c r="E105" t="s">
        <v>65</v>
      </c>
      <c r="F105" t="s">
        <v>280</v>
      </c>
      <c r="G105" t="str">
        <f>HYPERLINK(_xlfn.CONCAT("https://tablet.otzar.org/",CHAR(35),"/book/147450/p/-1/t/1/fs/0/start/0/end/0/c"),"כתר כהונה")</f>
        <v>כתר כהונה</v>
      </c>
      <c r="H105" t="str">
        <f>_xlfn.CONCAT("https://tablet.otzar.org/",CHAR(35),"/book/147450/p/-1/t/1/fs/0/start/0/end/0/c")</f>
        <v>https://tablet.otzar.org/#/book/147450/p/-1/t/1/fs/0/start/0/end/0/c</v>
      </c>
    </row>
    <row r="106" spans="1:8" x14ac:dyDescent="0.25">
      <c r="A106">
        <v>194204</v>
      </c>
      <c r="B106" t="s">
        <v>281</v>
      </c>
      <c r="C106" t="s">
        <v>282</v>
      </c>
      <c r="D106" t="s">
        <v>10</v>
      </c>
      <c r="E106" t="s">
        <v>25</v>
      </c>
      <c r="F106" t="s">
        <v>34</v>
      </c>
      <c r="G106" t="str">
        <f>HYPERLINK(_xlfn.CONCAT("https://tablet.otzar.org/",CHAR(35),"/exKotar/194204"),"לבוש מרדכי &lt;מהדורה חדשה&gt;  - 5 כרכים")</f>
        <v>לבוש מרדכי &lt;מהדורה חדשה&gt;  - 5 כרכים</v>
      </c>
      <c r="H106" t="str">
        <f>_xlfn.CONCAT("https://tablet.otzar.org/",CHAR(35),"/exKotar/194204")</f>
        <v>https://tablet.otzar.org/#/exKotar/194204</v>
      </c>
    </row>
    <row r="107" spans="1:8" x14ac:dyDescent="0.25">
      <c r="A107">
        <v>164169</v>
      </c>
      <c r="B107" t="s">
        <v>283</v>
      </c>
      <c r="C107" t="s">
        <v>284</v>
      </c>
      <c r="D107" t="s">
        <v>10</v>
      </c>
      <c r="E107" t="s">
        <v>46</v>
      </c>
      <c r="F107" t="s">
        <v>137</v>
      </c>
      <c r="G107" t="str">
        <f>HYPERLINK(_xlfn.CONCAT("https://tablet.otzar.org/",CHAR(35),"/exKotar/164169"),"לקט יושר &lt;מכון ירושלים&gt;  - 2 כרכים")</f>
        <v>לקט יושר &lt;מכון ירושלים&gt;  - 2 כרכים</v>
      </c>
      <c r="H107" t="str">
        <f>_xlfn.CONCAT("https://tablet.otzar.org/",CHAR(35),"/exKotar/164169")</f>
        <v>https://tablet.otzar.org/#/exKotar/164169</v>
      </c>
    </row>
    <row r="108" spans="1:8" x14ac:dyDescent="0.25">
      <c r="A108">
        <v>147396</v>
      </c>
      <c r="B108" t="s">
        <v>285</v>
      </c>
      <c r="C108" t="s">
        <v>286</v>
      </c>
      <c r="D108" t="s">
        <v>10</v>
      </c>
      <c r="E108" t="s">
        <v>287</v>
      </c>
      <c r="F108" t="s">
        <v>49</v>
      </c>
      <c r="G108" t="str">
        <f>HYPERLINK(_xlfn.CONCAT("https://tablet.otzar.org/",CHAR(35),"/book/147396/p/-1/t/1/fs/0/start/0/end/0/c"),"מאורות הראשונים")</f>
        <v>מאורות הראשונים</v>
      </c>
      <c r="H108" t="str">
        <f>_xlfn.CONCAT("https://tablet.otzar.org/",CHAR(35),"/book/147396/p/-1/t/1/fs/0/start/0/end/0/c")</f>
        <v>https://tablet.otzar.org/#/book/147396/p/-1/t/1/fs/0/start/0/end/0/c</v>
      </c>
    </row>
    <row r="109" spans="1:8" x14ac:dyDescent="0.25">
      <c r="A109">
        <v>147503</v>
      </c>
      <c r="B109" t="s">
        <v>288</v>
      </c>
      <c r="C109" t="s">
        <v>126</v>
      </c>
      <c r="D109" t="s">
        <v>10</v>
      </c>
      <c r="E109" t="s">
        <v>127</v>
      </c>
      <c r="F109" t="s">
        <v>34</v>
      </c>
      <c r="G109" t="str">
        <f>HYPERLINK(_xlfn.CONCAT("https://tablet.otzar.org/",CHAR(35),"/book/147503/p/-1/t/1/fs/0/start/0/end/0/c"),"מאורות נתן")</f>
        <v>מאורות נתן</v>
      </c>
      <c r="H109" t="str">
        <f>_xlfn.CONCAT("https://tablet.otzar.org/",CHAR(35),"/book/147503/p/-1/t/1/fs/0/start/0/end/0/c")</f>
        <v>https://tablet.otzar.org/#/book/147503/p/-1/t/1/fs/0/start/0/end/0/c</v>
      </c>
    </row>
    <row r="110" spans="1:8" x14ac:dyDescent="0.25">
      <c r="A110">
        <v>147502</v>
      </c>
      <c r="B110" t="s">
        <v>289</v>
      </c>
      <c r="C110" t="s">
        <v>126</v>
      </c>
      <c r="D110" t="s">
        <v>10</v>
      </c>
      <c r="E110" t="s">
        <v>290</v>
      </c>
      <c r="F110" t="s">
        <v>29</v>
      </c>
      <c r="G110" t="str">
        <f>HYPERLINK(_xlfn.CONCAT("https://tablet.otzar.org/",CHAR(35),"/book/147502/p/-1/t/1/fs/0/start/0/end/0/c"),"מאיר עיני ישראל")</f>
        <v>מאיר עיני ישראל</v>
      </c>
      <c r="H110" t="str">
        <f>_xlfn.CONCAT("https://tablet.otzar.org/",CHAR(35),"/book/147502/p/-1/t/1/fs/0/start/0/end/0/c")</f>
        <v>https://tablet.otzar.org/#/book/147502/p/-1/t/1/fs/0/start/0/end/0/c</v>
      </c>
    </row>
    <row r="111" spans="1:8" x14ac:dyDescent="0.25">
      <c r="A111">
        <v>147434</v>
      </c>
      <c r="B111" t="s">
        <v>291</v>
      </c>
      <c r="C111" t="s">
        <v>292</v>
      </c>
      <c r="D111" t="s">
        <v>10</v>
      </c>
      <c r="E111" t="s">
        <v>58</v>
      </c>
      <c r="F111" t="s">
        <v>34</v>
      </c>
      <c r="G111" t="str">
        <f>HYPERLINK(_xlfn.CONCAT("https://tablet.otzar.org/",CHAR(35),"/book/147434/p/-1/t/1/fs/0/start/0/end/0/c"),"מאמר מרדכי &lt;מכון ירושלים&gt;")</f>
        <v>מאמר מרדכי &lt;מכון ירושלים&gt;</v>
      </c>
      <c r="H111" t="str">
        <f>_xlfn.CONCAT("https://tablet.otzar.org/",CHAR(35),"/book/147434/p/-1/t/1/fs/0/start/0/end/0/c")</f>
        <v>https://tablet.otzar.org/#/book/147434/p/-1/t/1/fs/0/start/0/end/0/c</v>
      </c>
    </row>
    <row r="112" spans="1:8" x14ac:dyDescent="0.25">
      <c r="A112">
        <v>647219</v>
      </c>
      <c r="B112" t="s">
        <v>293</v>
      </c>
      <c r="C112" t="s">
        <v>294</v>
      </c>
      <c r="D112" t="s">
        <v>10</v>
      </c>
      <c r="E112" t="s">
        <v>31</v>
      </c>
      <c r="F112" t="s">
        <v>49</v>
      </c>
      <c r="G112" t="str">
        <f>HYPERLINK(_xlfn.CONCAT("https://tablet.otzar.org/",CHAR(35),"/book/647219/p/-1/t/1/fs/0/start/0/end/0/c"),"מבוא והוספות לספרי מהרי""""ל")</f>
        <v>מבוא והוספות לספרי מהרי""ל</v>
      </c>
      <c r="H112" t="str">
        <f>_xlfn.CONCAT("https://tablet.otzar.org/",CHAR(35),"/book/647219/p/-1/t/1/fs/0/start/0/end/0/c")</f>
        <v>https://tablet.otzar.org/#/book/647219/p/-1/t/1/fs/0/start/0/end/0/c</v>
      </c>
    </row>
    <row r="113" spans="1:8" x14ac:dyDescent="0.25">
      <c r="A113">
        <v>146665</v>
      </c>
      <c r="B113" t="s">
        <v>295</v>
      </c>
      <c r="C113" t="s">
        <v>296</v>
      </c>
      <c r="D113" t="s">
        <v>10</v>
      </c>
      <c r="E113" t="s">
        <v>297</v>
      </c>
      <c r="F113" t="s">
        <v>100</v>
      </c>
      <c r="G113" t="str">
        <f>HYPERLINK(_xlfn.CONCAT("https://tablet.otzar.org/",CHAR(35),"/book/146665/p/-1/t/1/fs/0/start/0/end/0/c"),"מהר""""ז בינגא")</f>
        <v>מהר""ז בינגא</v>
      </c>
      <c r="H113" t="str">
        <f>_xlfn.CONCAT("https://tablet.otzar.org/",CHAR(35),"/book/146665/p/-1/t/1/fs/0/start/0/end/0/c")</f>
        <v>https://tablet.otzar.org/#/book/146665/p/-1/t/1/fs/0/start/0/end/0/c</v>
      </c>
    </row>
    <row r="114" spans="1:8" x14ac:dyDescent="0.25">
      <c r="A114">
        <v>147518</v>
      </c>
      <c r="B114" t="s">
        <v>298</v>
      </c>
      <c r="C114" t="s">
        <v>299</v>
      </c>
      <c r="D114" t="s">
        <v>10</v>
      </c>
      <c r="E114" t="s">
        <v>68</v>
      </c>
      <c r="F114" t="s">
        <v>104</v>
      </c>
      <c r="G114" t="str">
        <f>HYPERLINK(_xlfn.CONCAT("https://tablet.otzar.org/",CHAR(35),"/book/147518/p/-1/t/1/fs/0/start/0/end/0/c"),"מור וקציעה &lt;מכון ירושלים&gt;")</f>
        <v>מור וקציעה &lt;מכון ירושלים&gt;</v>
      </c>
      <c r="H114" t="str">
        <f>_xlfn.CONCAT("https://tablet.otzar.org/",CHAR(35),"/book/147518/p/-1/t/1/fs/0/start/0/end/0/c")</f>
        <v>https://tablet.otzar.org/#/book/147518/p/-1/t/1/fs/0/start/0/end/0/c</v>
      </c>
    </row>
    <row r="115" spans="1:8" x14ac:dyDescent="0.25">
      <c r="A115">
        <v>656858</v>
      </c>
      <c r="B115" t="s">
        <v>300</v>
      </c>
      <c r="C115" t="s">
        <v>301</v>
      </c>
      <c r="D115" t="s">
        <v>10</v>
      </c>
      <c r="E115" t="s">
        <v>103</v>
      </c>
      <c r="F115" t="s">
        <v>302</v>
      </c>
      <c r="G115" t="str">
        <f>HYPERLINK(_xlfn.CONCAT("https://tablet.otzar.org/",CHAR(35),"/exKotar/656858"),"מוריה - 5 כרכים")</f>
        <v>מוריה - 5 כרכים</v>
      </c>
      <c r="H115" t="str">
        <f>_xlfn.CONCAT("https://tablet.otzar.org/",CHAR(35),"/exKotar/656858")</f>
        <v>https://tablet.otzar.org/#/exKotar/656858</v>
      </c>
    </row>
    <row r="116" spans="1:8" x14ac:dyDescent="0.25">
      <c r="A116">
        <v>656861</v>
      </c>
      <c r="B116" t="s">
        <v>303</v>
      </c>
      <c r="C116" t="s">
        <v>304</v>
      </c>
      <c r="D116" t="s">
        <v>10</v>
      </c>
      <c r="E116" t="s">
        <v>103</v>
      </c>
      <c r="F116" t="s">
        <v>34</v>
      </c>
      <c r="G116" t="str">
        <f>HYPERLINK(_xlfn.CONCAT("https://tablet.otzar.org/",CHAR(35),"/book/656861/p/-1/t/1/fs/0/start/0/end/0/c"),"מטה עז - ערכין, זבחים")</f>
        <v>מטה עז - ערכין, זבחים</v>
      </c>
      <c r="H116" t="str">
        <f>_xlfn.CONCAT("https://tablet.otzar.org/",CHAR(35),"/book/656861/p/-1/t/1/fs/0/start/0/end/0/c")</f>
        <v>https://tablet.otzar.org/#/book/656861/p/-1/t/1/fs/0/start/0/end/0/c</v>
      </c>
    </row>
    <row r="117" spans="1:8" x14ac:dyDescent="0.25">
      <c r="A117">
        <v>147767</v>
      </c>
      <c r="B117" t="s">
        <v>305</v>
      </c>
      <c r="C117" t="s">
        <v>306</v>
      </c>
      <c r="D117" t="s">
        <v>10</v>
      </c>
      <c r="E117" t="s">
        <v>290</v>
      </c>
      <c r="F117" t="s">
        <v>34</v>
      </c>
      <c r="G117" t="str">
        <f>HYPERLINK(_xlfn.CONCAT("https://tablet.otzar.org/",CHAR(35),"/book/147767/p/-1/t/1/fs/0/start/0/end/0/c"),"מי החג &lt;מכון ירושלים&gt;")</f>
        <v>מי החג &lt;מכון ירושלים&gt;</v>
      </c>
      <c r="H117" t="str">
        <f>_xlfn.CONCAT("https://tablet.otzar.org/",CHAR(35),"/book/147767/p/-1/t/1/fs/0/start/0/end/0/c")</f>
        <v>https://tablet.otzar.org/#/book/147767/p/-1/t/1/fs/0/start/0/end/0/c</v>
      </c>
    </row>
    <row r="118" spans="1:8" x14ac:dyDescent="0.25">
      <c r="A118">
        <v>157100</v>
      </c>
      <c r="B118" t="s">
        <v>307</v>
      </c>
      <c r="C118" t="s">
        <v>64</v>
      </c>
      <c r="D118" t="s">
        <v>10</v>
      </c>
      <c r="E118" t="s">
        <v>131</v>
      </c>
      <c r="F118" t="s">
        <v>34</v>
      </c>
      <c r="G118" t="str">
        <f>HYPERLINK(_xlfn.CONCAT("https://tablet.otzar.org/",CHAR(35),"/exKotar/157100"),"מי טל - 26 כרכים")</f>
        <v>מי טל - 26 כרכים</v>
      </c>
      <c r="H118" t="str">
        <f>_xlfn.CONCAT("https://tablet.otzar.org/",CHAR(35),"/exKotar/157100")</f>
        <v>https://tablet.otzar.org/#/exKotar/157100</v>
      </c>
    </row>
    <row r="119" spans="1:8" x14ac:dyDescent="0.25">
      <c r="A119">
        <v>622080</v>
      </c>
      <c r="B119" t="s">
        <v>308</v>
      </c>
      <c r="C119" t="s">
        <v>309</v>
      </c>
      <c r="D119" t="s">
        <v>10</v>
      </c>
      <c r="E119" t="s">
        <v>31</v>
      </c>
      <c r="F119" t="s">
        <v>310</v>
      </c>
      <c r="G119" t="str">
        <f>HYPERLINK(_xlfn.CONCAT("https://tablet.otzar.org/",CHAR(35),"/exKotar/622080"),"מלאכת מחשבת &lt;מהדורה חדשה&gt;  - 2 כרכים")</f>
        <v>מלאכת מחשבת &lt;מהדורה חדשה&gt;  - 2 כרכים</v>
      </c>
      <c r="H119" t="str">
        <f>_xlfn.CONCAT("https://tablet.otzar.org/",CHAR(35),"/exKotar/622080")</f>
        <v>https://tablet.otzar.org/#/exKotar/622080</v>
      </c>
    </row>
    <row r="120" spans="1:8" x14ac:dyDescent="0.25">
      <c r="A120">
        <v>147397</v>
      </c>
      <c r="B120" t="s">
        <v>311</v>
      </c>
      <c r="C120" t="s">
        <v>312</v>
      </c>
      <c r="D120" t="s">
        <v>10</v>
      </c>
      <c r="E120" t="s">
        <v>42</v>
      </c>
      <c r="F120" t="s">
        <v>49</v>
      </c>
      <c r="G120" t="str">
        <f>HYPERLINK(_xlfn.CONCAT("https://tablet.otzar.org/",CHAR(35),"/book/147397/p/-1/t/1/fs/0/start/0/end/0/c"),"מנהגות וורמייזא")</f>
        <v>מנהגות וורמייזא</v>
      </c>
      <c r="H120" t="str">
        <f>_xlfn.CONCAT("https://tablet.otzar.org/",CHAR(35),"/book/147397/p/-1/t/1/fs/0/start/0/end/0/c")</f>
        <v>https://tablet.otzar.org/#/book/147397/p/-1/t/1/fs/0/start/0/end/0/c</v>
      </c>
    </row>
    <row r="121" spans="1:8" x14ac:dyDescent="0.25">
      <c r="A121">
        <v>147488</v>
      </c>
      <c r="B121" t="s">
        <v>313</v>
      </c>
      <c r="C121" t="s">
        <v>314</v>
      </c>
      <c r="D121" t="s">
        <v>10</v>
      </c>
      <c r="E121" t="s">
        <v>287</v>
      </c>
      <c r="F121" t="s">
        <v>49</v>
      </c>
      <c r="G121" t="str">
        <f>HYPERLINK(_xlfn.CONCAT("https://tablet.otzar.org/",CHAR(35),"/book/147488/p/-1/t/1/fs/0/start/0/end/0/c"),"מנהגי אמשטרדם")</f>
        <v>מנהגי אמשטרדם</v>
      </c>
      <c r="H121" t="str">
        <f>_xlfn.CONCAT("https://tablet.otzar.org/",CHAR(35),"/book/147488/p/-1/t/1/fs/0/start/0/end/0/c")</f>
        <v>https://tablet.otzar.org/#/book/147488/p/-1/t/1/fs/0/start/0/end/0/c</v>
      </c>
    </row>
    <row r="122" spans="1:8" x14ac:dyDescent="0.25">
      <c r="A122">
        <v>147487</v>
      </c>
      <c r="B122" t="s">
        <v>315</v>
      </c>
      <c r="C122" t="s">
        <v>316</v>
      </c>
      <c r="D122" t="s">
        <v>10</v>
      </c>
      <c r="E122" t="s">
        <v>117</v>
      </c>
      <c r="F122" t="s">
        <v>104</v>
      </c>
      <c r="G122" t="str">
        <f>HYPERLINK(_xlfn.CONCAT("https://tablet.otzar.org/",CHAR(35),"/book/147487/p/-1/t/1/fs/0/start/0/end/0/c"),"מנהגי מצרים")</f>
        <v>מנהגי מצרים</v>
      </c>
      <c r="H122" t="str">
        <f>_xlfn.CONCAT("https://tablet.otzar.org/",CHAR(35),"/book/147487/p/-1/t/1/fs/0/start/0/end/0/c")</f>
        <v>https://tablet.otzar.org/#/book/147487/p/-1/t/1/fs/0/start/0/end/0/c</v>
      </c>
    </row>
    <row r="123" spans="1:8" x14ac:dyDescent="0.25">
      <c r="A123">
        <v>147985</v>
      </c>
      <c r="B123" t="s">
        <v>317</v>
      </c>
      <c r="C123" t="s">
        <v>318</v>
      </c>
      <c r="D123" t="s">
        <v>10</v>
      </c>
      <c r="E123" t="s">
        <v>233</v>
      </c>
      <c r="F123" t="s">
        <v>49</v>
      </c>
      <c r="G123" t="str">
        <f>HYPERLINK(_xlfn.CONCAT("https://tablet.otzar.org/",CHAR(35),"/book/147985/p/-1/t/1/fs/0/start/0/end/0/c"),"מנהגים")</f>
        <v>מנהגים</v>
      </c>
      <c r="H123" t="str">
        <f>_xlfn.CONCAT("https://tablet.otzar.org/",CHAR(35),"/book/147985/p/-1/t/1/fs/0/start/0/end/0/c")</f>
        <v>https://tablet.otzar.org/#/book/147985/p/-1/t/1/fs/0/start/0/end/0/c</v>
      </c>
    </row>
    <row r="124" spans="1:8" x14ac:dyDescent="0.25">
      <c r="A124">
        <v>147404</v>
      </c>
      <c r="B124" t="s">
        <v>319</v>
      </c>
      <c r="C124" t="s">
        <v>320</v>
      </c>
      <c r="D124" t="s">
        <v>10</v>
      </c>
      <c r="E124" t="s">
        <v>61</v>
      </c>
      <c r="F124" t="s">
        <v>49</v>
      </c>
      <c r="G124" t="str">
        <f>HYPERLINK(_xlfn.CONCAT("https://tablet.otzar.org/",CHAR(35),"/exKotar/147404"),"מנהגים דק""""ק וורמיישא - 2 כרכים")</f>
        <v>מנהגים דק""ק וורמיישא - 2 כרכים</v>
      </c>
      <c r="H124" t="str">
        <f>_xlfn.CONCAT("https://tablet.otzar.org/",CHAR(35),"/exKotar/147404")</f>
        <v>https://tablet.otzar.org/#/exKotar/147404</v>
      </c>
    </row>
    <row r="125" spans="1:8" x14ac:dyDescent="0.25">
      <c r="A125">
        <v>147524</v>
      </c>
      <c r="B125" t="s">
        <v>321</v>
      </c>
      <c r="C125" t="s">
        <v>322</v>
      </c>
      <c r="D125" t="s">
        <v>10</v>
      </c>
      <c r="E125" t="s">
        <v>61</v>
      </c>
      <c r="F125" t="s">
        <v>140</v>
      </c>
      <c r="G125" t="str">
        <f>HYPERLINK(_xlfn.CONCAT("https://tablet.otzar.org/",CHAR(35),"/exKotar/147524"),"מנחת חינוך &lt;מכון ירושלים&gt;  - 3 כרכים")</f>
        <v>מנחת חינוך &lt;מכון ירושלים&gt;  - 3 כרכים</v>
      </c>
      <c r="H125" t="str">
        <f>_xlfn.CONCAT("https://tablet.otzar.org/",CHAR(35),"/exKotar/147524")</f>
        <v>https://tablet.otzar.org/#/exKotar/147524</v>
      </c>
    </row>
    <row r="126" spans="1:8" x14ac:dyDescent="0.25">
      <c r="A126">
        <v>169763</v>
      </c>
      <c r="B126" t="s">
        <v>323</v>
      </c>
      <c r="C126" t="s">
        <v>322</v>
      </c>
      <c r="D126" t="s">
        <v>10</v>
      </c>
      <c r="E126" t="s">
        <v>149</v>
      </c>
      <c r="F126" t="s">
        <v>12</v>
      </c>
      <c r="G126" t="str">
        <f>HYPERLINK(_xlfn.CONCAT("https://tablet.otzar.org/",CHAR(35),"/exKotar/169763"),"מנחת חינוך עם בשולי המנחה - 7 כרכים")</f>
        <v>מנחת חינוך עם בשולי המנחה - 7 כרכים</v>
      </c>
      <c r="H126" t="str">
        <f>_xlfn.CONCAT("https://tablet.otzar.org/",CHAR(35),"/exKotar/169763")</f>
        <v>https://tablet.otzar.org/#/exKotar/169763</v>
      </c>
    </row>
    <row r="127" spans="1:8" x14ac:dyDescent="0.25">
      <c r="A127">
        <v>147469</v>
      </c>
      <c r="B127" t="s">
        <v>324</v>
      </c>
      <c r="C127" t="s">
        <v>80</v>
      </c>
      <c r="D127" t="s">
        <v>10</v>
      </c>
      <c r="E127" t="s">
        <v>48</v>
      </c>
      <c r="F127" t="s">
        <v>78</v>
      </c>
      <c r="G127" t="str">
        <f>HYPERLINK(_xlfn.CONCAT("https://tablet.otzar.org/",CHAR(35),"/exKotar/147469"),"מנחת משה - 2 כרכים")</f>
        <v>מנחת משה - 2 כרכים</v>
      </c>
      <c r="H127" t="str">
        <f>_xlfn.CONCAT("https://tablet.otzar.org/",CHAR(35),"/exKotar/147469")</f>
        <v>https://tablet.otzar.org/#/exKotar/147469</v>
      </c>
    </row>
    <row r="128" spans="1:8" x14ac:dyDescent="0.25">
      <c r="A128">
        <v>637117</v>
      </c>
      <c r="B128" t="s">
        <v>325</v>
      </c>
      <c r="C128" t="s">
        <v>326</v>
      </c>
      <c r="D128" t="s">
        <v>327</v>
      </c>
      <c r="E128" t="s">
        <v>172</v>
      </c>
      <c r="F128" t="s">
        <v>140</v>
      </c>
      <c r="G128" t="str">
        <f>HYPERLINK(_xlfn.CONCAT("https://tablet.otzar.org/",CHAR(35),"/exKotar/637117"),"מנחת סולת &lt;מכון ירושלים&gt;  - 3 כרכים")</f>
        <v>מנחת סולת &lt;מכון ירושלים&gt;  - 3 כרכים</v>
      </c>
      <c r="H128" t="str">
        <f>_xlfn.CONCAT("https://tablet.otzar.org/",CHAR(35),"/exKotar/637117")</f>
        <v>https://tablet.otzar.org/#/exKotar/637117</v>
      </c>
    </row>
    <row r="129" spans="1:8" x14ac:dyDescent="0.25">
      <c r="A129">
        <v>146651</v>
      </c>
      <c r="B129" t="s">
        <v>328</v>
      </c>
      <c r="C129" t="s">
        <v>265</v>
      </c>
      <c r="D129" t="s">
        <v>10</v>
      </c>
      <c r="E129" t="s">
        <v>97</v>
      </c>
      <c r="F129" t="s">
        <v>34</v>
      </c>
      <c r="G129" t="str">
        <f>HYPERLINK(_xlfn.CONCAT("https://tablet.otzar.org/",CHAR(35),"/exKotar/146651"),"מנחת עני - 5 כרכים")</f>
        <v>מנחת עני - 5 כרכים</v>
      </c>
      <c r="H129" t="str">
        <f>_xlfn.CONCAT("https://tablet.otzar.org/",CHAR(35),"/exKotar/146651")</f>
        <v>https://tablet.otzar.org/#/exKotar/146651</v>
      </c>
    </row>
    <row r="130" spans="1:8" x14ac:dyDescent="0.25">
      <c r="A130">
        <v>147038</v>
      </c>
      <c r="B130" t="s">
        <v>329</v>
      </c>
      <c r="C130" t="s">
        <v>330</v>
      </c>
      <c r="D130" t="s">
        <v>10</v>
      </c>
      <c r="E130" t="s">
        <v>117</v>
      </c>
      <c r="F130" t="s">
        <v>49</v>
      </c>
      <c r="G130" t="str">
        <f>HYPERLINK(_xlfn.CONCAT("https://tablet.otzar.org/",CHAR(35),"/book/147038/p/-1/t/1/fs/0/start/0/end/0/c"),"מעיני מים &lt;מקוה מים&gt;")</f>
        <v>מעיני מים &lt;מקוה מים&gt;</v>
      </c>
      <c r="H130" t="str">
        <f>_xlfn.CONCAT("https://tablet.otzar.org/",CHAR(35),"/book/147038/p/-1/t/1/fs/0/start/0/end/0/c")</f>
        <v>https://tablet.otzar.org/#/book/147038/p/-1/t/1/fs/0/start/0/end/0/c</v>
      </c>
    </row>
    <row r="131" spans="1:8" x14ac:dyDescent="0.25">
      <c r="A131">
        <v>146636</v>
      </c>
      <c r="B131" t="s">
        <v>331</v>
      </c>
      <c r="C131" t="s">
        <v>332</v>
      </c>
      <c r="D131" t="s">
        <v>10</v>
      </c>
      <c r="E131" t="s">
        <v>184</v>
      </c>
      <c r="F131" t="s">
        <v>12</v>
      </c>
      <c r="G131" t="str">
        <f>HYPERLINK(_xlfn.CONCAT("https://tablet.otzar.org/",CHAR(35),"/book/146636/p/-1/t/1/fs/0/start/0/end/0/c"),"מערכות דברי אמת")</f>
        <v>מערכות דברי אמת</v>
      </c>
      <c r="H131" t="str">
        <f>_xlfn.CONCAT("https://tablet.otzar.org/",CHAR(35),"/book/146636/p/-1/t/1/fs/0/start/0/end/0/c")</f>
        <v>https://tablet.otzar.org/#/book/146636/p/-1/t/1/fs/0/start/0/end/0/c</v>
      </c>
    </row>
    <row r="132" spans="1:8" x14ac:dyDescent="0.25">
      <c r="A132">
        <v>193700</v>
      </c>
      <c r="B132" t="s">
        <v>333</v>
      </c>
      <c r="C132" t="s">
        <v>334</v>
      </c>
      <c r="D132" t="s">
        <v>10</v>
      </c>
      <c r="E132" t="s">
        <v>25</v>
      </c>
      <c r="F132" t="s">
        <v>179</v>
      </c>
      <c r="G132" t="str">
        <f>HYPERLINK(_xlfn.CONCAT("https://tablet.otzar.org/",CHAR(35),"/book/193700/p/-1/t/1/fs/0/start/0/end/0/c"),"מפיו אנו חיים")</f>
        <v>מפיו אנו חיים</v>
      </c>
      <c r="H132" t="str">
        <f>_xlfn.CONCAT("https://tablet.otzar.org/",CHAR(35),"/book/193700/p/-1/t/1/fs/0/start/0/end/0/c")</f>
        <v>https://tablet.otzar.org/#/book/193700/p/-1/t/1/fs/0/start/0/end/0/c</v>
      </c>
    </row>
    <row r="133" spans="1:8" x14ac:dyDescent="0.25">
      <c r="A133">
        <v>144643</v>
      </c>
      <c r="B133" t="s">
        <v>335</v>
      </c>
      <c r="C133" t="s">
        <v>336</v>
      </c>
      <c r="D133" t="s">
        <v>10</v>
      </c>
      <c r="E133" t="s">
        <v>15</v>
      </c>
      <c r="F133" t="s">
        <v>302</v>
      </c>
      <c r="G133" t="str">
        <f>HYPERLINK(_xlfn.CONCAT("https://tablet.otzar.org/",CHAR(35),"/book/144643/p/-1/t/1/fs/0/start/0/end/0/c"),"מפעל מורשת יהדות הונגריה - א")</f>
        <v>מפעל מורשת יהדות הונגריה - א</v>
      </c>
      <c r="H133" t="str">
        <f>_xlfn.CONCAT("https://tablet.otzar.org/",CHAR(35),"/book/144643/p/-1/t/1/fs/0/start/0/end/0/c")</f>
        <v>https://tablet.otzar.org/#/book/144643/p/-1/t/1/fs/0/start/0/end/0/c</v>
      </c>
    </row>
    <row r="134" spans="1:8" x14ac:dyDescent="0.25">
      <c r="A134">
        <v>147069</v>
      </c>
      <c r="B134" t="s">
        <v>337</v>
      </c>
      <c r="C134" t="s">
        <v>338</v>
      </c>
      <c r="D134" t="s">
        <v>10</v>
      </c>
      <c r="E134" t="s">
        <v>339</v>
      </c>
      <c r="F134" t="s">
        <v>91</v>
      </c>
      <c r="G134" t="str">
        <f>HYPERLINK(_xlfn.CONCAT("https://tablet.otzar.org/",CHAR(35),"/exKotar/147069"),"מקור חיים - 2 כרכים")</f>
        <v>מקור חיים - 2 כרכים</v>
      </c>
      <c r="H134" t="str">
        <f>_xlfn.CONCAT("https://tablet.otzar.org/",CHAR(35),"/exKotar/147069")</f>
        <v>https://tablet.otzar.org/#/exKotar/147069</v>
      </c>
    </row>
    <row r="135" spans="1:8" x14ac:dyDescent="0.25">
      <c r="A135">
        <v>147478</v>
      </c>
      <c r="B135" t="s">
        <v>340</v>
      </c>
      <c r="C135" t="s">
        <v>338</v>
      </c>
      <c r="D135" t="s">
        <v>10</v>
      </c>
      <c r="E135" t="s">
        <v>202</v>
      </c>
      <c r="F135" t="s">
        <v>100</v>
      </c>
      <c r="G135" t="str">
        <f>HYPERLINK(_xlfn.CONCAT("https://tablet.otzar.org/",CHAR(35),"/book/147478/p/-1/t/1/fs/0/start/0/end/0/c"),"מר קשישא")</f>
        <v>מר קשישא</v>
      </c>
      <c r="H135" t="str">
        <f>_xlfn.CONCAT("https://tablet.otzar.org/",CHAR(35),"/book/147478/p/-1/t/1/fs/0/start/0/end/0/c")</f>
        <v>https://tablet.otzar.org/#/book/147478/p/-1/t/1/fs/0/start/0/end/0/c</v>
      </c>
    </row>
    <row r="136" spans="1:8" x14ac:dyDescent="0.25">
      <c r="A136">
        <v>656851</v>
      </c>
      <c r="B136" t="s">
        <v>341</v>
      </c>
      <c r="C136" t="s">
        <v>342</v>
      </c>
      <c r="D136" t="s">
        <v>10</v>
      </c>
      <c r="E136" t="s">
        <v>103</v>
      </c>
      <c r="F136" t="s">
        <v>100</v>
      </c>
      <c r="G136" t="str">
        <f>HYPERLINK(_xlfn.CONCAT("https://tablet.otzar.org/",CHAR(35),"/exKotar/656851"),"מרדכי השלם &lt;מהדורה חדשה&gt; - 4 כרכים")</f>
        <v>מרדכי השלם &lt;מהדורה חדשה&gt; - 4 כרכים</v>
      </c>
      <c r="H136" t="str">
        <f>_xlfn.CONCAT("https://tablet.otzar.org/",CHAR(35),"/exKotar/656851")</f>
        <v>https://tablet.otzar.org/#/exKotar/656851</v>
      </c>
    </row>
    <row r="137" spans="1:8" x14ac:dyDescent="0.25">
      <c r="A137">
        <v>147408</v>
      </c>
      <c r="B137" t="s">
        <v>343</v>
      </c>
      <c r="C137" t="s">
        <v>342</v>
      </c>
      <c r="D137" t="s">
        <v>10</v>
      </c>
      <c r="E137" t="s">
        <v>87</v>
      </c>
      <c r="F137" t="s">
        <v>34</v>
      </c>
      <c r="G137" t="str">
        <f>HYPERLINK(_xlfn.CONCAT("https://tablet.otzar.org/",CHAR(35),"/exKotar/147408"),"מרדכי השלם &lt;מהדורה מורחבת&gt; - 8 כרכים")</f>
        <v>מרדכי השלם &lt;מהדורה מורחבת&gt; - 8 כרכים</v>
      </c>
      <c r="H137" t="str">
        <f>_xlfn.CONCAT("https://tablet.otzar.org/",CHAR(35),"/exKotar/147408")</f>
        <v>https://tablet.otzar.org/#/exKotar/147408</v>
      </c>
    </row>
    <row r="138" spans="1:8" x14ac:dyDescent="0.25">
      <c r="A138">
        <v>176111</v>
      </c>
      <c r="B138" t="s">
        <v>344</v>
      </c>
      <c r="C138" t="s">
        <v>345</v>
      </c>
      <c r="D138" t="s">
        <v>10</v>
      </c>
      <c r="E138" t="s">
        <v>11</v>
      </c>
      <c r="F138" t="s">
        <v>34</v>
      </c>
      <c r="G138" t="str">
        <f>HYPERLINK(_xlfn.CONCAT("https://tablet.otzar.org/",CHAR(35),"/book/176111/p/-1/t/1/fs/0/start/0/end/0/c"),"משאת משה - קידושין")</f>
        <v>משאת משה - קידושין</v>
      </c>
      <c r="H138" t="str">
        <f>_xlfn.CONCAT("https://tablet.otzar.org/",CHAR(35),"/book/176111/p/-1/t/1/fs/0/start/0/end/0/c")</f>
        <v>https://tablet.otzar.org/#/book/176111/p/-1/t/1/fs/0/start/0/end/0/c</v>
      </c>
    </row>
    <row r="139" spans="1:8" x14ac:dyDescent="0.25">
      <c r="A139">
        <v>678559</v>
      </c>
      <c r="B139" t="s">
        <v>346</v>
      </c>
      <c r="C139" t="s">
        <v>345</v>
      </c>
      <c r="D139" t="s">
        <v>10</v>
      </c>
      <c r="E139" t="s">
        <v>19</v>
      </c>
      <c r="F139" t="s">
        <v>34</v>
      </c>
      <c r="G139" t="str">
        <f>HYPERLINK(_xlfn.CONCAT("https://tablet.otzar.org/",CHAR(35),"/exKotar/678559"),"משאת משה &lt;מהדורה חדשה&gt;  - 4 כרכים")</f>
        <v>משאת משה &lt;מהדורה חדשה&gt;  - 4 כרכים</v>
      </c>
      <c r="H139" t="str">
        <f>_xlfn.CONCAT("https://tablet.otzar.org/",CHAR(35),"/exKotar/678559")</f>
        <v>https://tablet.otzar.org/#/exKotar/678559</v>
      </c>
    </row>
    <row r="140" spans="1:8" x14ac:dyDescent="0.25">
      <c r="A140">
        <v>147042</v>
      </c>
      <c r="B140" t="s">
        <v>347</v>
      </c>
      <c r="C140" t="s">
        <v>348</v>
      </c>
      <c r="D140" t="s">
        <v>10</v>
      </c>
      <c r="E140" t="s">
        <v>166</v>
      </c>
      <c r="F140" t="s">
        <v>78</v>
      </c>
      <c r="G140" t="str">
        <f>HYPERLINK(_xlfn.CONCAT("https://tablet.otzar.org/",CHAR(35),"/book/147042/p/-1/t/1/fs/0/start/0/end/0/c"),"משיב כהלכה")</f>
        <v>משיב כהלכה</v>
      </c>
      <c r="H140" t="str">
        <f>_xlfn.CONCAT("https://tablet.otzar.org/",CHAR(35),"/book/147042/p/-1/t/1/fs/0/start/0/end/0/c")</f>
        <v>https://tablet.otzar.org/#/book/147042/p/-1/t/1/fs/0/start/0/end/0/c</v>
      </c>
    </row>
    <row r="141" spans="1:8" x14ac:dyDescent="0.25">
      <c r="A141">
        <v>147480</v>
      </c>
      <c r="B141" t="s">
        <v>349</v>
      </c>
      <c r="C141" t="s">
        <v>350</v>
      </c>
      <c r="D141" t="s">
        <v>10</v>
      </c>
      <c r="E141" t="s">
        <v>127</v>
      </c>
      <c r="F141" t="s">
        <v>351</v>
      </c>
      <c r="G141" t="str">
        <f>HYPERLINK(_xlfn.CONCAT("https://tablet.otzar.org/",CHAR(35),"/book/147480/p/-1/t/1/fs/0/start/0/end/0/c"),"משיבת נפש")</f>
        <v>משיבת נפש</v>
      </c>
      <c r="H141" t="str">
        <f>_xlfn.CONCAT("https://tablet.otzar.org/",CHAR(35),"/book/147480/p/-1/t/1/fs/0/start/0/end/0/c")</f>
        <v>https://tablet.otzar.org/#/book/147480/p/-1/t/1/fs/0/start/0/end/0/c</v>
      </c>
    </row>
    <row r="142" spans="1:8" x14ac:dyDescent="0.25">
      <c r="A142">
        <v>610243</v>
      </c>
      <c r="B142" t="s">
        <v>352</v>
      </c>
      <c r="C142" t="s">
        <v>353</v>
      </c>
      <c r="D142" t="s">
        <v>10</v>
      </c>
      <c r="E142" t="s">
        <v>36</v>
      </c>
      <c r="F142" t="s">
        <v>91</v>
      </c>
      <c r="G142" t="str">
        <f>HYPERLINK(_xlfn.CONCAT("https://tablet.otzar.org/",CHAR(35),"/exKotar/610243"),"משנה ברורה &lt;אור המזרח&gt;  - 4 כרכים")</f>
        <v>משנה ברורה &lt;אור המזרח&gt;  - 4 כרכים</v>
      </c>
      <c r="H142" t="str">
        <f>_xlfn.CONCAT("https://tablet.otzar.org/",CHAR(35),"/exKotar/610243")</f>
        <v>https://tablet.otzar.org/#/exKotar/610243</v>
      </c>
    </row>
    <row r="143" spans="1:8" x14ac:dyDescent="0.25">
      <c r="A143">
        <v>147028</v>
      </c>
      <c r="B143" t="s">
        <v>354</v>
      </c>
      <c r="C143" t="s">
        <v>355</v>
      </c>
      <c r="D143" t="s">
        <v>10</v>
      </c>
      <c r="E143" t="s">
        <v>42</v>
      </c>
      <c r="F143" t="s">
        <v>78</v>
      </c>
      <c r="G143" t="str">
        <f>HYPERLINK(_xlfn.CONCAT("https://tablet.otzar.org/",CHAR(35),"/book/147028/p/-1/t/1/fs/0/start/0/end/0/c"),"משנה שכיר - או""""ח")</f>
        <v>משנה שכיר - או""ח</v>
      </c>
      <c r="H143" t="str">
        <f>_xlfn.CONCAT("https://tablet.otzar.org/",CHAR(35),"/book/147028/p/-1/t/1/fs/0/start/0/end/0/c")</f>
        <v>https://tablet.otzar.org/#/book/147028/p/-1/t/1/fs/0/start/0/end/0/c</v>
      </c>
    </row>
    <row r="144" spans="1:8" x14ac:dyDescent="0.25">
      <c r="A144">
        <v>633168</v>
      </c>
      <c r="B144" t="s">
        <v>356</v>
      </c>
      <c r="C144" t="s">
        <v>357</v>
      </c>
      <c r="D144" t="s">
        <v>10</v>
      </c>
      <c r="E144" t="s">
        <v>55</v>
      </c>
      <c r="F144" t="s">
        <v>34</v>
      </c>
      <c r="G144" t="str">
        <f>HYPERLINK(_xlfn.CONCAT("https://tablet.otzar.org/",CHAR(35),"/exKotar/633168"),"מתורתו של רבי פנחס - 2 כרכים")</f>
        <v>מתורתו של רבי פנחס - 2 כרכים</v>
      </c>
      <c r="H144" t="str">
        <f>_xlfn.CONCAT("https://tablet.otzar.org/",CHAR(35),"/exKotar/633168")</f>
        <v>https://tablet.otzar.org/#/exKotar/633168</v>
      </c>
    </row>
    <row r="145" spans="1:8" x14ac:dyDescent="0.25">
      <c r="A145">
        <v>147495</v>
      </c>
      <c r="B145" t="s">
        <v>358</v>
      </c>
      <c r="C145" t="s">
        <v>359</v>
      </c>
      <c r="D145" t="s">
        <v>10</v>
      </c>
      <c r="E145" t="s">
        <v>233</v>
      </c>
      <c r="F145" t="s">
        <v>34</v>
      </c>
      <c r="G145" t="str">
        <f>HYPERLINK(_xlfn.CONCAT("https://tablet.otzar.org/",CHAR(35),"/book/147495/p/-1/t/1/fs/0/start/0/end/0/c"),"מתורתן של ראשונים &lt;מכון ירושלים&gt;")</f>
        <v>מתורתן של ראשונים &lt;מכון ירושלים&gt;</v>
      </c>
      <c r="H145" t="str">
        <f>_xlfn.CONCAT("https://tablet.otzar.org/",CHAR(35),"/book/147495/p/-1/t/1/fs/0/start/0/end/0/c")</f>
        <v>https://tablet.otzar.org/#/book/147495/p/-1/t/1/fs/0/start/0/end/0/c</v>
      </c>
    </row>
    <row r="146" spans="1:8" x14ac:dyDescent="0.25">
      <c r="A146">
        <v>636129</v>
      </c>
      <c r="B146" t="s">
        <v>360</v>
      </c>
      <c r="C146" t="s">
        <v>334</v>
      </c>
      <c r="D146" t="s">
        <v>10</v>
      </c>
      <c r="E146" t="s">
        <v>28</v>
      </c>
      <c r="F146" t="s">
        <v>12</v>
      </c>
      <c r="G146" t="str">
        <f>HYPERLINK(_xlfn.CONCAT("https://tablet.otzar.org/",CHAR(35),"/exKotar/636129"),"נאמנו מאד - 8 כרכים")</f>
        <v>נאמנו מאד - 8 כרכים</v>
      </c>
      <c r="H146" t="str">
        <f>_xlfn.CONCAT("https://tablet.otzar.org/",CHAR(35),"/exKotar/636129")</f>
        <v>https://tablet.otzar.org/#/exKotar/636129</v>
      </c>
    </row>
    <row r="147" spans="1:8" x14ac:dyDescent="0.25">
      <c r="A147">
        <v>147517</v>
      </c>
      <c r="B147" t="s">
        <v>361</v>
      </c>
      <c r="C147" t="s">
        <v>362</v>
      </c>
      <c r="D147" t="s">
        <v>10</v>
      </c>
      <c r="E147" t="s">
        <v>84</v>
      </c>
      <c r="F147" t="s">
        <v>78</v>
      </c>
      <c r="G147" t="str">
        <f>HYPERLINK(_xlfn.CONCAT("https://tablet.otzar.org/",CHAR(35),"/exKotar/147517"),"נודע ביהודה השלם - 6 כרכים")</f>
        <v>נודע ביהודה השלם - 6 כרכים</v>
      </c>
      <c r="H147" t="str">
        <f>_xlfn.CONCAT("https://tablet.otzar.org/",CHAR(35),"/exKotar/147517")</f>
        <v>https://tablet.otzar.org/#/exKotar/147517</v>
      </c>
    </row>
    <row r="148" spans="1:8" x14ac:dyDescent="0.25">
      <c r="A148">
        <v>175479</v>
      </c>
      <c r="B148" t="s">
        <v>363</v>
      </c>
      <c r="C148" t="s">
        <v>76</v>
      </c>
      <c r="D148" t="s">
        <v>10</v>
      </c>
      <c r="E148" t="s">
        <v>11</v>
      </c>
      <c r="F148" t="s">
        <v>91</v>
      </c>
      <c r="G148" t="str">
        <f>HYPERLINK(_xlfn.CONCAT("https://tablet.otzar.org/",CHAR(35),"/exKotar/175479"),"נחל יצחק &lt;מכון ירושלים&gt;  - 4 כרכים")</f>
        <v>נחל יצחק &lt;מכון ירושלים&gt;  - 4 כרכים</v>
      </c>
      <c r="H148" t="str">
        <f>_xlfn.CONCAT("https://tablet.otzar.org/",CHAR(35),"/exKotar/175479")</f>
        <v>https://tablet.otzar.org/#/exKotar/175479</v>
      </c>
    </row>
    <row r="149" spans="1:8" x14ac:dyDescent="0.25">
      <c r="A149">
        <v>147481</v>
      </c>
      <c r="B149" t="s">
        <v>364</v>
      </c>
      <c r="C149" t="s">
        <v>365</v>
      </c>
      <c r="D149" t="s">
        <v>10</v>
      </c>
      <c r="E149" t="s">
        <v>77</v>
      </c>
      <c r="F149" t="s">
        <v>366</v>
      </c>
      <c r="G149" t="str">
        <f>HYPERLINK(_xlfn.CONCAT("https://tablet.otzar.org/",CHAR(35),"/book/147481/p/-1/t/1/fs/0/start/0/end/0/c"),"נחלי יהושע")</f>
        <v>נחלי יהושע</v>
      </c>
      <c r="H149" t="str">
        <f>_xlfn.CONCAT("https://tablet.otzar.org/",CHAR(35),"/book/147481/p/-1/t/1/fs/0/start/0/end/0/c")</f>
        <v>https://tablet.otzar.org/#/book/147481/p/-1/t/1/fs/0/start/0/end/0/c</v>
      </c>
    </row>
    <row r="150" spans="1:8" x14ac:dyDescent="0.25">
      <c r="A150">
        <v>150971</v>
      </c>
      <c r="B150" t="s">
        <v>367</v>
      </c>
      <c r="C150" t="s">
        <v>368</v>
      </c>
      <c r="D150" t="s">
        <v>10</v>
      </c>
      <c r="E150" t="s">
        <v>90</v>
      </c>
      <c r="F150" t="s">
        <v>34</v>
      </c>
      <c r="G150" t="str">
        <f>HYPERLINK(_xlfn.CONCAT("https://tablet.otzar.org/",CHAR(35),"/exKotar/150971"),"נחלת בנימין - 2 כרכים")</f>
        <v>נחלת בנימין - 2 כרכים</v>
      </c>
      <c r="H150" t="str">
        <f>_xlfn.CONCAT("https://tablet.otzar.org/",CHAR(35),"/exKotar/150971")</f>
        <v>https://tablet.otzar.org/#/exKotar/150971</v>
      </c>
    </row>
    <row r="151" spans="1:8" x14ac:dyDescent="0.25">
      <c r="A151">
        <v>183415</v>
      </c>
      <c r="B151" t="s">
        <v>369</v>
      </c>
      <c r="C151" t="s">
        <v>370</v>
      </c>
      <c r="D151" t="s">
        <v>10</v>
      </c>
      <c r="E151" t="s">
        <v>273</v>
      </c>
      <c r="F151" t="s">
        <v>371</v>
      </c>
      <c r="G151" t="str">
        <f>HYPERLINK(_xlfn.CONCAT("https://tablet.otzar.org/",CHAR(35),"/book/183415/p/-1/t/1/fs/0/start/0/end/0/c"),"נחלת יעקב - אמת ליעקב - דרשות מהר""""י מליסא")</f>
        <v>נחלת יעקב - אמת ליעקב - דרשות מהר""י מליסא</v>
      </c>
      <c r="H151" t="str">
        <f>_xlfn.CONCAT("https://tablet.otzar.org/",CHAR(35),"/book/183415/p/-1/t/1/fs/0/start/0/end/0/c")</f>
        <v>https://tablet.otzar.org/#/book/183415/p/-1/t/1/fs/0/start/0/end/0/c</v>
      </c>
    </row>
    <row r="152" spans="1:8" x14ac:dyDescent="0.25">
      <c r="A152">
        <v>157082</v>
      </c>
      <c r="B152" t="s">
        <v>372</v>
      </c>
      <c r="C152" t="s">
        <v>373</v>
      </c>
      <c r="D152" t="s">
        <v>10</v>
      </c>
      <c r="E152" t="s">
        <v>22</v>
      </c>
      <c r="F152" t="s">
        <v>374</v>
      </c>
      <c r="G152" t="str">
        <f>HYPERLINK(_xlfn.CONCAT("https://tablet.otzar.org/",CHAR(35),"/book/157082/p/-1/t/1/fs/0/start/0/end/0/c"),"נטעי שמואל")</f>
        <v>נטעי שמואל</v>
      </c>
      <c r="H152" t="str">
        <f>_xlfn.CONCAT("https://tablet.otzar.org/",CHAR(35),"/book/157082/p/-1/t/1/fs/0/start/0/end/0/c")</f>
        <v>https://tablet.otzar.org/#/book/157082/p/-1/t/1/fs/0/start/0/end/0/c</v>
      </c>
    </row>
    <row r="153" spans="1:8" x14ac:dyDescent="0.25">
      <c r="A153">
        <v>147401</v>
      </c>
      <c r="B153" t="s">
        <v>375</v>
      </c>
      <c r="C153" t="s">
        <v>376</v>
      </c>
      <c r="D153" t="s">
        <v>10</v>
      </c>
      <c r="E153" t="s">
        <v>134</v>
      </c>
      <c r="F153" t="s">
        <v>100</v>
      </c>
      <c r="G153" t="str">
        <f>HYPERLINK(_xlfn.CONCAT("https://tablet.otzar.org/",CHAR(35),"/book/147401/p/-1/t/1/fs/0/start/0/end/0/c"),"נעים זמירות - אבל השיטים")</f>
        <v>נעים זמירות - אבל השיטים</v>
      </c>
      <c r="H153" t="str">
        <f>_xlfn.CONCAT("https://tablet.otzar.org/",CHAR(35),"/book/147401/p/-1/t/1/fs/0/start/0/end/0/c")</f>
        <v>https://tablet.otzar.org/#/book/147401/p/-1/t/1/fs/0/start/0/end/0/c</v>
      </c>
    </row>
    <row r="154" spans="1:8" x14ac:dyDescent="0.25">
      <c r="A154">
        <v>688052</v>
      </c>
      <c r="B154" t="s">
        <v>377</v>
      </c>
      <c r="C154" t="s">
        <v>378</v>
      </c>
      <c r="D154" t="s">
        <v>10</v>
      </c>
      <c r="E154" t="s">
        <v>379</v>
      </c>
      <c r="F154" t="s">
        <v>49</v>
      </c>
      <c r="G154" t="str">
        <f>HYPERLINK(_xlfn.CONCAT("https://tablet.otzar.org/",CHAR(35),"/book/688052/p/-1/t/1/fs/0/start/0/end/0/c"),"סדר הגט &lt;הארוך והקצר&gt;")</f>
        <v>סדר הגט &lt;הארוך והקצר&gt;</v>
      </c>
      <c r="H154" t="str">
        <f>_xlfn.CONCAT("https://tablet.otzar.org/",CHAR(35),"/book/688052/p/-1/t/1/fs/0/start/0/end/0/c")</f>
        <v>https://tablet.otzar.org/#/book/688052/p/-1/t/1/fs/0/start/0/end/0/c</v>
      </c>
    </row>
    <row r="155" spans="1:8" x14ac:dyDescent="0.25">
      <c r="A155">
        <v>193706</v>
      </c>
      <c r="B155" t="s">
        <v>380</v>
      </c>
      <c r="C155" t="s">
        <v>381</v>
      </c>
      <c r="D155" t="s">
        <v>10</v>
      </c>
      <c r="E155" t="s">
        <v>25</v>
      </c>
      <c r="F155" t="s">
        <v>26</v>
      </c>
      <c r="G155" t="str">
        <f>HYPERLINK(_xlfn.CONCAT("https://tablet.otzar.org/",CHAR(35),"/book/193706/p/-1/t/1/fs/0/start/0/end/0/c"),"סדר הושענות המבואר")</f>
        <v>סדר הושענות המבואר</v>
      </c>
      <c r="H155" t="str">
        <f>_xlfn.CONCAT("https://tablet.otzar.org/",CHAR(35),"/book/193706/p/-1/t/1/fs/0/start/0/end/0/c")</f>
        <v>https://tablet.otzar.org/#/book/193706/p/-1/t/1/fs/0/start/0/end/0/c</v>
      </c>
    </row>
    <row r="156" spans="1:8" x14ac:dyDescent="0.25">
      <c r="A156">
        <v>688054</v>
      </c>
      <c r="B156" t="s">
        <v>382</v>
      </c>
      <c r="C156" t="s">
        <v>378</v>
      </c>
      <c r="D156" t="s">
        <v>10</v>
      </c>
      <c r="E156" t="s">
        <v>127</v>
      </c>
      <c r="F156" t="s">
        <v>100</v>
      </c>
      <c r="G156" t="str">
        <f>HYPERLINK(_xlfn.CONCAT("https://tablet.otzar.org/",CHAR(35),"/book/688054/p/-1/t/1/fs/0/start/0/end/0/c"),"סדר חליצה &lt;הארוך והקצר&gt;")</f>
        <v>סדר חליצה &lt;הארוך והקצר&gt;</v>
      </c>
      <c r="H156" t="str">
        <f>_xlfn.CONCAT("https://tablet.otzar.org/",CHAR(35),"/book/688054/p/-1/t/1/fs/0/start/0/end/0/c")</f>
        <v>https://tablet.otzar.org/#/book/688054/p/-1/t/1/fs/0/start/0/end/0/c</v>
      </c>
    </row>
    <row r="157" spans="1:8" x14ac:dyDescent="0.25">
      <c r="A157">
        <v>147472</v>
      </c>
      <c r="B157" t="s">
        <v>383</v>
      </c>
      <c r="C157" t="s">
        <v>257</v>
      </c>
      <c r="D157" t="s">
        <v>10</v>
      </c>
      <c r="E157" t="s">
        <v>65</v>
      </c>
      <c r="F157" t="s">
        <v>384</v>
      </c>
      <c r="G157" t="str">
        <f>HYPERLINK(_xlfn.CONCAT("https://tablet.otzar.org/",CHAR(35),"/exKotar/147472"),"סדר פרשיות - 3 כרכים")</f>
        <v>סדר פרשיות - 3 כרכים</v>
      </c>
      <c r="H157" t="str">
        <f>_xlfn.CONCAT("https://tablet.otzar.org/",CHAR(35),"/exKotar/147472")</f>
        <v>https://tablet.otzar.org/#/exKotar/147472</v>
      </c>
    </row>
    <row r="158" spans="1:8" x14ac:dyDescent="0.25">
      <c r="A158">
        <v>147395</v>
      </c>
      <c r="B158" t="s">
        <v>385</v>
      </c>
      <c r="C158" t="s">
        <v>386</v>
      </c>
      <c r="D158" t="s">
        <v>10</v>
      </c>
      <c r="E158" t="s">
        <v>153</v>
      </c>
      <c r="F158" t="s">
        <v>49</v>
      </c>
      <c r="G158" t="str">
        <f>HYPERLINK(_xlfn.CONCAT("https://tablet.otzar.org/",CHAR(35),"/book/147395/p/-1/t/1/fs/0/start/0/end/0/c"),"סוגיות בדיני ממונות")</f>
        <v>סוגיות בדיני ממונות</v>
      </c>
      <c r="H158" t="str">
        <f>_xlfn.CONCAT("https://tablet.otzar.org/",CHAR(35),"/book/147395/p/-1/t/1/fs/0/start/0/end/0/c")</f>
        <v>https://tablet.otzar.org/#/book/147395/p/-1/t/1/fs/0/start/0/end/0/c</v>
      </c>
    </row>
    <row r="159" spans="1:8" x14ac:dyDescent="0.25">
      <c r="A159">
        <v>688053</v>
      </c>
      <c r="B159" t="s">
        <v>387</v>
      </c>
      <c r="C159" t="s">
        <v>388</v>
      </c>
      <c r="D159" t="s">
        <v>10</v>
      </c>
      <c r="E159" t="s">
        <v>19</v>
      </c>
      <c r="F159" t="s">
        <v>20</v>
      </c>
      <c r="G159" t="str">
        <f>HYPERLINK(_xlfn.CONCAT("https://tablet.otzar.org/",CHAR(35),"/book/688053/p/-1/t/1/fs/0/start/0/end/0/c"),"סידור הראב""""ן - עפ""""י כת""""י ודפו""""ר")</f>
        <v>סידור הראב""ן - עפ""י כת""י ודפו""ר</v>
      </c>
      <c r="H159" t="str">
        <f>_xlfn.CONCAT("https://tablet.otzar.org/",CHAR(35),"/book/688053/p/-1/t/1/fs/0/start/0/end/0/c")</f>
        <v>https://tablet.otzar.org/#/book/688053/p/-1/t/1/fs/0/start/0/end/0/c</v>
      </c>
    </row>
    <row r="160" spans="1:8" x14ac:dyDescent="0.25">
      <c r="A160">
        <v>147768</v>
      </c>
      <c r="B160" t="s">
        <v>389</v>
      </c>
      <c r="C160" t="s">
        <v>306</v>
      </c>
      <c r="D160" t="s">
        <v>10</v>
      </c>
      <c r="E160" t="s">
        <v>166</v>
      </c>
      <c r="F160" t="s">
        <v>34</v>
      </c>
      <c r="G160" t="str">
        <f>HYPERLINK(_xlfn.CONCAT("https://tablet.otzar.org/",CHAR(35),"/book/147768/p/-1/t/1/fs/0/start/0/end/0/c"),"ספיקא דרבנן &lt;מכון ירושלים&gt;")</f>
        <v>ספיקא דרבנן &lt;מכון ירושלים&gt;</v>
      </c>
      <c r="H160" t="str">
        <f>_xlfn.CONCAT("https://tablet.otzar.org/",CHAR(35),"/book/147768/p/-1/t/1/fs/0/start/0/end/0/c")</f>
        <v>https://tablet.otzar.org/#/book/147768/p/-1/t/1/fs/0/start/0/end/0/c</v>
      </c>
    </row>
    <row r="161" spans="1:8" x14ac:dyDescent="0.25">
      <c r="A161">
        <v>656863</v>
      </c>
      <c r="B161" t="s">
        <v>390</v>
      </c>
      <c r="C161" t="s">
        <v>54</v>
      </c>
      <c r="D161" t="s">
        <v>10</v>
      </c>
      <c r="E161" t="s">
        <v>103</v>
      </c>
      <c r="F161" t="s">
        <v>49</v>
      </c>
      <c r="G161" t="str">
        <f>HYPERLINK(_xlfn.CONCAT("https://tablet.otzar.org/",CHAR(35),"/book/656863/p/-1/t/1/fs/0/start/0/end/0/c"),"ספר האורה &lt;מהדורת מכון ירושלים&gt;")</f>
        <v>ספר האורה &lt;מהדורת מכון ירושלים&gt;</v>
      </c>
      <c r="H161" t="str">
        <f>_xlfn.CONCAT("https://tablet.otzar.org/",CHAR(35),"/book/656863/p/-1/t/1/fs/0/start/0/end/0/c")</f>
        <v>https://tablet.otzar.org/#/book/656863/p/-1/t/1/fs/0/start/0/end/0/c</v>
      </c>
    </row>
    <row r="162" spans="1:8" x14ac:dyDescent="0.25">
      <c r="A162">
        <v>147451</v>
      </c>
      <c r="B162" t="s">
        <v>391</v>
      </c>
      <c r="C162" t="s">
        <v>392</v>
      </c>
      <c r="D162" t="s">
        <v>10</v>
      </c>
      <c r="E162" t="s">
        <v>87</v>
      </c>
      <c r="F162" t="s">
        <v>140</v>
      </c>
      <c r="G162" t="str">
        <f>HYPERLINK(_xlfn.CONCAT("https://tablet.otzar.org/",CHAR(35),"/exKotar/147451"),"ספר החינוך &lt;מכון ירושלים&gt;  - 2 כרכים")</f>
        <v>ספר החינוך &lt;מכון ירושלים&gt;  - 2 כרכים</v>
      </c>
      <c r="H162" t="str">
        <f>_xlfn.CONCAT("https://tablet.otzar.org/",CHAR(35),"/exKotar/147451")</f>
        <v>https://tablet.otzar.org/#/exKotar/147451</v>
      </c>
    </row>
    <row r="163" spans="1:8" x14ac:dyDescent="0.25">
      <c r="A163">
        <v>147443</v>
      </c>
      <c r="B163" t="s">
        <v>393</v>
      </c>
      <c r="C163" t="s">
        <v>394</v>
      </c>
      <c r="D163" t="s">
        <v>10</v>
      </c>
      <c r="E163" t="s">
        <v>48</v>
      </c>
      <c r="F163" t="s">
        <v>49</v>
      </c>
      <c r="G163" t="str">
        <f>HYPERLINK(_xlfn.CONCAT("https://tablet.otzar.org/",CHAR(35),"/book/147443/p/-1/t/1/fs/0/start/0/end/0/c"),"ספר המנהגים לרבינו אברהם קלויזנר, לרבינו אברהם חילדיק")</f>
        <v>ספר המנהגים לרבינו אברהם קלויזנר, לרבינו אברהם חילדיק</v>
      </c>
      <c r="H163" t="str">
        <f>_xlfn.CONCAT("https://tablet.otzar.org/",CHAR(35),"/book/147443/p/-1/t/1/fs/0/start/0/end/0/c")</f>
        <v>https://tablet.otzar.org/#/book/147443/p/-1/t/1/fs/0/start/0/end/0/c</v>
      </c>
    </row>
    <row r="164" spans="1:8" x14ac:dyDescent="0.25">
      <c r="A164">
        <v>147519</v>
      </c>
      <c r="B164" t="s">
        <v>395</v>
      </c>
      <c r="C164" t="s">
        <v>396</v>
      </c>
      <c r="D164" t="s">
        <v>10</v>
      </c>
      <c r="E164" t="s">
        <v>84</v>
      </c>
      <c r="F164" t="s">
        <v>49</v>
      </c>
      <c r="G164" t="str">
        <f>HYPERLINK(_xlfn.CONCAT("https://tablet.otzar.org/",CHAR(35),"/book/147519/p/-1/t/1/fs/0/start/0/end/0/c"),"ספר הנייר")</f>
        <v>ספר הנייר</v>
      </c>
      <c r="H164" t="str">
        <f>_xlfn.CONCAT("https://tablet.otzar.org/",CHAR(35),"/book/147519/p/-1/t/1/fs/0/start/0/end/0/c")</f>
        <v>https://tablet.otzar.org/#/book/147519/p/-1/t/1/fs/0/start/0/end/0/c</v>
      </c>
    </row>
    <row r="165" spans="1:8" x14ac:dyDescent="0.25">
      <c r="A165">
        <v>193702</v>
      </c>
      <c r="B165" t="s">
        <v>397</v>
      </c>
      <c r="C165" t="s">
        <v>398</v>
      </c>
      <c r="D165" t="s">
        <v>10</v>
      </c>
      <c r="E165" t="s">
        <v>25</v>
      </c>
      <c r="F165" t="s">
        <v>49</v>
      </c>
      <c r="G165" t="str">
        <f>HYPERLINK(_xlfn.CONCAT("https://tablet.otzar.org/",CHAR(35),"/book/193702/p/-1/t/1/fs/0/start/0/end/0/c"),"ספר הפרנס השלם &lt;עם ביאור רמ""""ב&gt;")</f>
        <v>ספר הפרנס השלם &lt;עם ביאור רמ""ב&gt;</v>
      </c>
      <c r="H165" t="str">
        <f>_xlfn.CONCAT("https://tablet.otzar.org/",CHAR(35),"/book/193702/p/-1/t/1/fs/0/start/0/end/0/c")</f>
        <v>https://tablet.otzar.org/#/book/193702/p/-1/t/1/fs/0/start/0/end/0/c</v>
      </c>
    </row>
    <row r="166" spans="1:8" x14ac:dyDescent="0.25">
      <c r="A166">
        <v>656864</v>
      </c>
      <c r="B166" t="s">
        <v>399</v>
      </c>
      <c r="C166" t="s">
        <v>400</v>
      </c>
      <c r="D166" t="s">
        <v>10</v>
      </c>
      <c r="E166" t="s">
        <v>103</v>
      </c>
      <c r="F166" t="s">
        <v>49</v>
      </c>
      <c r="G166" t="str">
        <f>HYPERLINK(_xlfn.CONCAT("https://tablet.otzar.org/",CHAR(35),"/exKotar/656864"),"ספר התרומה &lt;מכון ירושלים&gt;  - 3 כרכים")</f>
        <v>ספר התרומה &lt;מכון ירושלים&gt;  - 3 כרכים</v>
      </c>
      <c r="H166" t="str">
        <f>_xlfn.CONCAT("https://tablet.otzar.org/",CHAR(35),"/exKotar/656864")</f>
        <v>https://tablet.otzar.org/#/exKotar/656864</v>
      </c>
    </row>
    <row r="167" spans="1:8" x14ac:dyDescent="0.25">
      <c r="A167">
        <v>146674</v>
      </c>
      <c r="B167" t="s">
        <v>401</v>
      </c>
      <c r="C167" t="s">
        <v>402</v>
      </c>
      <c r="D167" t="s">
        <v>10</v>
      </c>
      <c r="E167" t="s">
        <v>61</v>
      </c>
      <c r="F167" t="s">
        <v>140</v>
      </c>
      <c r="G167" t="str">
        <f>HYPERLINK(_xlfn.CONCAT("https://tablet.otzar.org/",CHAR(35),"/exKotar/146674"),"ספר התרומות עם גדולי תרומה &lt;מכון ירושלים&gt;  - 2 כרכים")</f>
        <v>ספר התרומות עם גדולי תרומה &lt;מכון ירושלים&gt;  - 2 כרכים</v>
      </c>
      <c r="H167" t="str">
        <f>_xlfn.CONCAT("https://tablet.otzar.org/",CHAR(35),"/exKotar/146674")</f>
        <v>https://tablet.otzar.org/#/exKotar/146674</v>
      </c>
    </row>
    <row r="168" spans="1:8" x14ac:dyDescent="0.25">
      <c r="A168">
        <v>147447</v>
      </c>
      <c r="B168" t="s">
        <v>403</v>
      </c>
      <c r="C168" t="s">
        <v>404</v>
      </c>
      <c r="D168" t="s">
        <v>10</v>
      </c>
      <c r="E168" t="s">
        <v>244</v>
      </c>
      <c r="F168" t="s">
        <v>49</v>
      </c>
      <c r="G168" t="str">
        <f>HYPERLINK(_xlfn.CONCAT("https://tablet.otzar.org/",CHAR(35),"/book/147447/p/-1/t/1/fs/0/start/0/end/0/c"),"ספר מהרי""""ל &lt;מנהגים&gt;")</f>
        <v>ספר מהרי""ל &lt;מנהגים&gt;</v>
      </c>
      <c r="H168" t="str">
        <f>_xlfn.CONCAT("https://tablet.otzar.org/",CHAR(35),"/book/147447/p/-1/t/1/fs/0/start/0/end/0/c")</f>
        <v>https://tablet.otzar.org/#/book/147447/p/-1/t/1/fs/0/start/0/end/0/c</v>
      </c>
    </row>
    <row r="169" spans="1:8" x14ac:dyDescent="0.25">
      <c r="A169">
        <v>147523</v>
      </c>
      <c r="B169" t="s">
        <v>405</v>
      </c>
      <c r="C169" t="s">
        <v>406</v>
      </c>
      <c r="D169" t="s">
        <v>10</v>
      </c>
      <c r="E169" t="s">
        <v>73</v>
      </c>
      <c r="F169" t="s">
        <v>140</v>
      </c>
      <c r="G169" t="str">
        <f>HYPERLINK(_xlfn.CONCAT("https://tablet.otzar.org/",CHAR(35),"/exKotar/147523"),"ספר מצוות גדול השלם (סמ""""ג) - 2 כרכים")</f>
        <v>ספר מצוות גדול השלם (סמ""ג) - 2 כרכים</v>
      </c>
      <c r="H169" t="str">
        <f>_xlfn.CONCAT("https://tablet.otzar.org/",CHAR(35),"/exKotar/147523")</f>
        <v>https://tablet.otzar.org/#/exKotar/147523</v>
      </c>
    </row>
    <row r="170" spans="1:8" x14ac:dyDescent="0.25">
      <c r="A170">
        <v>169547</v>
      </c>
      <c r="B170" t="s">
        <v>407</v>
      </c>
      <c r="C170" t="s">
        <v>408</v>
      </c>
      <c r="D170" t="s">
        <v>10</v>
      </c>
      <c r="E170" t="s">
        <v>149</v>
      </c>
      <c r="F170" t="s">
        <v>49</v>
      </c>
      <c r="G170" t="str">
        <f>HYPERLINK(_xlfn.CONCAT("https://tablet.otzar.org/",CHAR(35),"/book/169547/p/-1/t/1/fs/0/start/0/end/0/c"),"ספר תשב""""ץ (תשב""""ץ קטן) &lt;מהדורה חדשה&gt;")</f>
        <v>ספר תשב""ץ (תשב""ץ קטן) &lt;מהדורה חדשה&gt;</v>
      </c>
      <c r="H170" t="str">
        <f>_xlfn.CONCAT("https://tablet.otzar.org/",CHAR(35),"/book/169547/p/-1/t/1/fs/0/start/0/end/0/c")</f>
        <v>https://tablet.otzar.org/#/book/169547/p/-1/t/1/fs/0/start/0/end/0/c</v>
      </c>
    </row>
    <row r="171" spans="1:8" x14ac:dyDescent="0.25">
      <c r="A171">
        <v>147032</v>
      </c>
      <c r="B171" t="s">
        <v>409</v>
      </c>
      <c r="C171" t="s">
        <v>410</v>
      </c>
      <c r="D171" t="s">
        <v>10</v>
      </c>
      <c r="E171" t="s">
        <v>202</v>
      </c>
      <c r="F171" t="s">
        <v>411</v>
      </c>
      <c r="G171" t="str">
        <f>HYPERLINK(_xlfn.CONCAT("https://tablet.otzar.org/",CHAR(35),"/book/147032/p/-1/t/1/fs/0/start/0/end/0/c"),"ספרי עם פירוש כתר כהונה")</f>
        <v>ספרי עם פירוש כתר כהונה</v>
      </c>
      <c r="H171" t="str">
        <f>_xlfn.CONCAT("https://tablet.otzar.org/",CHAR(35),"/book/147032/p/-1/t/1/fs/0/start/0/end/0/c")</f>
        <v>https://tablet.otzar.org/#/book/147032/p/-1/t/1/fs/0/start/0/end/0/c</v>
      </c>
    </row>
    <row r="172" spans="1:8" x14ac:dyDescent="0.25">
      <c r="A172">
        <v>147393</v>
      </c>
      <c r="B172" t="s">
        <v>412</v>
      </c>
      <c r="C172" t="s">
        <v>386</v>
      </c>
      <c r="D172" t="s">
        <v>10</v>
      </c>
      <c r="E172" t="s">
        <v>244</v>
      </c>
      <c r="F172" t="s">
        <v>49</v>
      </c>
      <c r="G172" t="str">
        <f>HYPERLINK(_xlfn.CONCAT("https://tablet.otzar.org/",CHAR(35),"/book/147393/p/-1/t/1/fs/0/start/0/end/0/c"),"עדות ושטרות")</f>
        <v>עדות ושטרות</v>
      </c>
      <c r="H172" t="str">
        <f>_xlfn.CONCAT("https://tablet.otzar.org/",CHAR(35),"/book/147393/p/-1/t/1/fs/0/start/0/end/0/c")</f>
        <v>https://tablet.otzar.org/#/book/147393/p/-1/t/1/fs/0/start/0/end/0/c</v>
      </c>
    </row>
    <row r="173" spans="1:8" x14ac:dyDescent="0.25">
      <c r="A173">
        <v>147448</v>
      </c>
      <c r="B173" t="s">
        <v>413</v>
      </c>
      <c r="C173" t="s">
        <v>414</v>
      </c>
      <c r="D173" t="s">
        <v>10</v>
      </c>
      <c r="E173" t="s">
        <v>42</v>
      </c>
      <c r="F173" t="s">
        <v>29</v>
      </c>
      <c r="G173" t="str">
        <f>HYPERLINK(_xlfn.CONCAT("https://tablet.otzar.org/",CHAR(35),"/exKotar/147448"),"עדי זהב - 2 כרכים")</f>
        <v>עדי זהב - 2 כרכים</v>
      </c>
      <c r="H173" t="str">
        <f>_xlfn.CONCAT("https://tablet.otzar.org/",CHAR(35),"/exKotar/147448")</f>
        <v>https://tablet.otzar.org/#/exKotar/147448</v>
      </c>
    </row>
    <row r="174" spans="1:8" x14ac:dyDescent="0.25">
      <c r="A174">
        <v>147379</v>
      </c>
      <c r="B174" t="s">
        <v>415</v>
      </c>
      <c r="C174" t="s">
        <v>416</v>
      </c>
      <c r="D174" t="s">
        <v>10</v>
      </c>
      <c r="E174" t="s">
        <v>65</v>
      </c>
      <c r="F174" t="s">
        <v>417</v>
      </c>
      <c r="G174" t="str">
        <f>HYPERLINK(_xlfn.CONCAT("https://tablet.otzar.org/",CHAR(35),"/book/147379/p/-1/t/1/fs/0/start/0/end/0/c"),"עזר משפט")</f>
        <v>עזר משפט</v>
      </c>
      <c r="H174" t="str">
        <f>_xlfn.CONCAT("https://tablet.otzar.org/",CHAR(35),"/book/147379/p/-1/t/1/fs/0/start/0/end/0/c")</f>
        <v>https://tablet.otzar.org/#/book/147379/p/-1/t/1/fs/0/start/0/end/0/c</v>
      </c>
    </row>
    <row r="175" spans="1:8" x14ac:dyDescent="0.25">
      <c r="A175">
        <v>147414</v>
      </c>
      <c r="B175" t="s">
        <v>418</v>
      </c>
      <c r="C175" t="s">
        <v>76</v>
      </c>
      <c r="D175" t="s">
        <v>10</v>
      </c>
      <c r="E175" t="s">
        <v>65</v>
      </c>
      <c r="F175" t="s">
        <v>78</v>
      </c>
      <c r="G175" t="str">
        <f>HYPERLINK(_xlfn.CONCAT("https://tablet.otzar.org/",CHAR(35),"/exKotar/147414"),"עין יצחק &lt;מכון ירושלים&gt;  - 4 כרכים")</f>
        <v>עין יצחק &lt;מכון ירושלים&gt;  - 4 כרכים</v>
      </c>
      <c r="H175" t="str">
        <f>_xlfn.CONCAT("https://tablet.otzar.org/",CHAR(35),"/exKotar/147414")</f>
        <v>https://tablet.otzar.org/#/exKotar/147414</v>
      </c>
    </row>
    <row r="176" spans="1:8" x14ac:dyDescent="0.25">
      <c r="A176">
        <v>147381</v>
      </c>
      <c r="B176" t="s">
        <v>419</v>
      </c>
      <c r="C176" t="s">
        <v>420</v>
      </c>
      <c r="D176" t="s">
        <v>10</v>
      </c>
      <c r="E176" t="s">
        <v>65</v>
      </c>
      <c r="F176" t="s">
        <v>421</v>
      </c>
      <c r="G176" t="str">
        <f>HYPERLINK(_xlfn.CONCAT("https://tablet.otzar.org/",CHAR(35),"/book/147381/p/-1/t/1/fs/0/start/0/end/0/c"),"עליות אריה")</f>
        <v>עליות אריה</v>
      </c>
      <c r="H176" t="str">
        <f>_xlfn.CONCAT("https://tablet.otzar.org/",CHAR(35),"/book/147381/p/-1/t/1/fs/0/start/0/end/0/c")</f>
        <v>https://tablet.otzar.org/#/book/147381/p/-1/t/1/fs/0/start/0/end/0/c</v>
      </c>
    </row>
    <row r="177" spans="1:8" x14ac:dyDescent="0.25">
      <c r="A177">
        <v>147062</v>
      </c>
      <c r="B177" t="s">
        <v>422</v>
      </c>
      <c r="C177" t="s">
        <v>423</v>
      </c>
      <c r="D177" t="s">
        <v>10</v>
      </c>
      <c r="E177" t="s">
        <v>202</v>
      </c>
      <c r="F177" t="s">
        <v>140</v>
      </c>
      <c r="G177" t="str">
        <f>HYPERLINK(_xlfn.CONCAT("https://tablet.otzar.org/",CHAR(35),"/exKotar/147062"),"עמודי שלמה &lt;מכון ירושלים&gt;  - 3 כרכים")</f>
        <v>עמודי שלמה &lt;מכון ירושלים&gt;  - 3 כרכים</v>
      </c>
      <c r="H177" t="str">
        <f>_xlfn.CONCAT("https://tablet.otzar.org/",CHAR(35),"/exKotar/147062")</f>
        <v>https://tablet.otzar.org/#/exKotar/147062</v>
      </c>
    </row>
    <row r="178" spans="1:8" x14ac:dyDescent="0.25">
      <c r="A178">
        <v>147398</v>
      </c>
      <c r="B178" t="s">
        <v>424</v>
      </c>
      <c r="C178" t="s">
        <v>425</v>
      </c>
      <c r="D178" t="s">
        <v>10</v>
      </c>
      <c r="E178" t="s">
        <v>77</v>
      </c>
      <c r="G178" t="str">
        <f>HYPERLINK(_xlfn.CONCAT("https://tablet.otzar.org/",CHAR(35),"/book/147398/p/-1/t/1/fs/0/start/0/end/0/c"),"עץ חיים")</f>
        <v>עץ חיים</v>
      </c>
      <c r="H178" t="str">
        <f>_xlfn.CONCAT("https://tablet.otzar.org/",CHAR(35),"/book/147398/p/-1/t/1/fs/0/start/0/end/0/c")</f>
        <v>https://tablet.otzar.org/#/book/147398/p/-1/t/1/fs/0/start/0/end/0/c</v>
      </c>
    </row>
    <row r="179" spans="1:8" x14ac:dyDescent="0.25">
      <c r="A179">
        <v>146646</v>
      </c>
      <c r="B179" t="s">
        <v>426</v>
      </c>
      <c r="C179" t="s">
        <v>427</v>
      </c>
      <c r="D179" t="s">
        <v>10</v>
      </c>
      <c r="E179" t="s">
        <v>297</v>
      </c>
      <c r="F179" t="s">
        <v>91</v>
      </c>
      <c r="G179" t="str">
        <f>HYPERLINK(_xlfn.CONCAT("https://tablet.otzar.org/",CHAR(35),"/exKotar/146646"),"ערוגת הבושם - 2 כרכים")</f>
        <v>ערוגת הבושם - 2 כרכים</v>
      </c>
      <c r="H179" t="str">
        <f>_xlfn.CONCAT("https://tablet.otzar.org/",CHAR(35),"/exKotar/146646")</f>
        <v>https://tablet.otzar.org/#/exKotar/146646</v>
      </c>
    </row>
    <row r="180" spans="1:8" x14ac:dyDescent="0.25">
      <c r="A180">
        <v>147035</v>
      </c>
      <c r="B180" t="s">
        <v>428</v>
      </c>
      <c r="C180" t="s">
        <v>429</v>
      </c>
      <c r="D180" t="s">
        <v>10</v>
      </c>
      <c r="E180" t="s">
        <v>87</v>
      </c>
      <c r="F180" t="s">
        <v>78</v>
      </c>
      <c r="G180" t="str">
        <f>HYPERLINK(_xlfn.CONCAT("https://tablet.otzar.org/",CHAR(35),"/book/147035/p/-1/t/1/fs/0/start/0/end/0/c"),"פאת השדה")</f>
        <v>פאת השדה</v>
      </c>
      <c r="H180" t="str">
        <f>_xlfn.CONCAT("https://tablet.otzar.org/",CHAR(35),"/book/147035/p/-1/t/1/fs/0/start/0/end/0/c")</f>
        <v>https://tablet.otzar.org/#/book/147035/p/-1/t/1/fs/0/start/0/end/0/c</v>
      </c>
    </row>
    <row r="181" spans="1:8" x14ac:dyDescent="0.25">
      <c r="A181">
        <v>147474</v>
      </c>
      <c r="B181" t="s">
        <v>430</v>
      </c>
      <c r="C181" t="s">
        <v>431</v>
      </c>
      <c r="D181" t="s">
        <v>10</v>
      </c>
      <c r="E181" t="s">
        <v>58</v>
      </c>
      <c r="F181" t="s">
        <v>20</v>
      </c>
      <c r="G181" t="str">
        <f>HYPERLINK(_xlfn.CONCAT("https://tablet.otzar.org/",CHAR(35),"/book/147474/p/-1/t/1/fs/0/start/0/end/0/c"),"פיוט אלקי הרוחות לכל בשר")</f>
        <v>פיוט אלקי הרוחות לכל בשר</v>
      </c>
      <c r="H181" t="str">
        <f>_xlfn.CONCAT("https://tablet.otzar.org/",CHAR(35),"/book/147474/p/-1/t/1/fs/0/start/0/end/0/c")</f>
        <v>https://tablet.otzar.org/#/book/147474/p/-1/t/1/fs/0/start/0/end/0/c</v>
      </c>
    </row>
    <row r="182" spans="1:8" x14ac:dyDescent="0.25">
      <c r="A182">
        <v>678562</v>
      </c>
      <c r="B182" t="s">
        <v>432</v>
      </c>
      <c r="C182" t="s">
        <v>304</v>
      </c>
      <c r="D182" t="s">
        <v>10</v>
      </c>
      <c r="E182" t="s">
        <v>19</v>
      </c>
      <c r="F182" t="s">
        <v>433</v>
      </c>
      <c r="G182" t="str">
        <f>HYPERLINK(_xlfn.CONCAT("https://tablet.otzar.org/",CHAR(35),"/book/678562/p/-1/t/1/fs/0/start/0/end/0/c"),"פיסת בר - מנחות, בכורות, קנים")</f>
        <v>פיסת בר - מנחות, בכורות, קנים</v>
      </c>
      <c r="H182" t="str">
        <f>_xlfn.CONCAT("https://tablet.otzar.org/",CHAR(35),"/book/678562/p/-1/t/1/fs/0/start/0/end/0/c")</f>
        <v>https://tablet.otzar.org/#/book/678562/p/-1/t/1/fs/0/start/0/end/0/c</v>
      </c>
    </row>
    <row r="183" spans="1:8" x14ac:dyDescent="0.25">
      <c r="A183">
        <v>147493</v>
      </c>
      <c r="B183" t="s">
        <v>434</v>
      </c>
      <c r="C183" t="s">
        <v>435</v>
      </c>
      <c r="D183" t="s">
        <v>10</v>
      </c>
      <c r="E183" t="s">
        <v>65</v>
      </c>
      <c r="F183" t="s">
        <v>34</v>
      </c>
      <c r="G183" t="str">
        <f>HYPERLINK(_xlfn.CONCAT("https://tablet.otzar.org/",CHAR(35),"/book/147493/p/-1/t/1/fs/0/start/0/end/0/c"),"פירוש הרגמ""""ה על מסכת כריתות")</f>
        <v>פירוש הרגמ""ה על מסכת כריתות</v>
      </c>
      <c r="H183" t="str">
        <f>_xlfn.CONCAT("https://tablet.otzar.org/",CHAR(35),"/book/147493/p/-1/t/1/fs/0/start/0/end/0/c")</f>
        <v>https://tablet.otzar.org/#/book/147493/p/-1/t/1/fs/0/start/0/end/0/c</v>
      </c>
    </row>
    <row r="184" spans="1:8" x14ac:dyDescent="0.25">
      <c r="A184">
        <v>647033</v>
      </c>
      <c r="B184" t="s">
        <v>436</v>
      </c>
      <c r="C184" t="s">
        <v>437</v>
      </c>
      <c r="D184" t="s">
        <v>10</v>
      </c>
      <c r="E184" t="s">
        <v>28</v>
      </c>
      <c r="F184" t="s">
        <v>29</v>
      </c>
      <c r="G184" t="str">
        <f>HYPERLINK(_xlfn.CONCAT("https://tablet.otzar.org/",CHAR(35),"/exKotar/647033"),"פירוש הרמב""""ן עה""""ת &lt;מכון ירושלים&gt;  - 3 כרכים")</f>
        <v>פירוש הרמב""ן עה""ת &lt;מכון ירושלים&gt;  - 3 כרכים</v>
      </c>
      <c r="H184" t="str">
        <f>_xlfn.CONCAT("https://tablet.otzar.org/",CHAR(35),"/exKotar/647033")</f>
        <v>https://tablet.otzar.org/#/exKotar/647033</v>
      </c>
    </row>
    <row r="185" spans="1:8" x14ac:dyDescent="0.25">
      <c r="A185">
        <v>150965</v>
      </c>
      <c r="B185" t="s">
        <v>438</v>
      </c>
      <c r="C185" t="s">
        <v>437</v>
      </c>
      <c r="D185" t="s">
        <v>10</v>
      </c>
      <c r="E185" t="s">
        <v>22</v>
      </c>
      <c r="F185" t="s">
        <v>29</v>
      </c>
      <c r="G185" t="str">
        <f>HYPERLINK(_xlfn.CONCAT("https://tablet.otzar.org/",CHAR(35),"/exKotar/150965"),"פירוש הרמב""""ן על התורה &lt;מכון ירושלים&gt;  - 5 כרכים")</f>
        <v>פירוש הרמב""ן על התורה &lt;מכון ירושלים&gt;  - 5 כרכים</v>
      </c>
      <c r="H185" t="str">
        <f>_xlfn.CONCAT("https://tablet.otzar.org/",CHAR(35),"/exKotar/150965")</f>
        <v>https://tablet.otzar.org/#/exKotar/150965</v>
      </c>
    </row>
    <row r="186" spans="1:8" x14ac:dyDescent="0.25">
      <c r="A186">
        <v>622085</v>
      </c>
      <c r="B186" t="s">
        <v>439</v>
      </c>
      <c r="C186" t="s">
        <v>440</v>
      </c>
      <c r="D186" t="s">
        <v>10</v>
      </c>
      <c r="E186" t="s">
        <v>31</v>
      </c>
      <c r="F186" t="s">
        <v>78</v>
      </c>
      <c r="G186" t="str">
        <f>HYPERLINK(_xlfn.CONCAT("https://tablet.otzar.org/",CHAR(35),"/book/622085/p/-1/t/1/fs/0/start/0/end/0/c"),"פני לבנה")</f>
        <v>פני לבנה</v>
      </c>
      <c r="H186" t="str">
        <f>_xlfn.CONCAT("https://tablet.otzar.org/",CHAR(35),"/book/622085/p/-1/t/1/fs/0/start/0/end/0/c")</f>
        <v>https://tablet.otzar.org/#/book/622085/p/-1/t/1/fs/0/start/0/end/0/c</v>
      </c>
    </row>
    <row r="187" spans="1:8" x14ac:dyDescent="0.25">
      <c r="A187">
        <v>147036</v>
      </c>
      <c r="B187" t="s">
        <v>441</v>
      </c>
      <c r="C187" t="s">
        <v>133</v>
      </c>
      <c r="D187" t="s">
        <v>10</v>
      </c>
      <c r="E187" t="s">
        <v>84</v>
      </c>
      <c r="F187" t="s">
        <v>442</v>
      </c>
      <c r="G187" t="str">
        <f>HYPERLINK(_xlfn.CONCAT("https://tablet.otzar.org/",CHAR(35),"/book/147036/p/-1/t/1/fs/0/start/0/end/0/c"),"פני משה - ירושלמי זרעים")</f>
        <v>פני משה - ירושלמי זרעים</v>
      </c>
      <c r="H187" t="str">
        <f>_xlfn.CONCAT("https://tablet.otzar.org/",CHAR(35),"/book/147036/p/-1/t/1/fs/0/start/0/end/0/c")</f>
        <v>https://tablet.otzar.org/#/book/147036/p/-1/t/1/fs/0/start/0/end/0/c</v>
      </c>
    </row>
    <row r="188" spans="1:8" x14ac:dyDescent="0.25">
      <c r="A188">
        <v>688055</v>
      </c>
      <c r="B188" t="s">
        <v>443</v>
      </c>
      <c r="C188" t="s">
        <v>444</v>
      </c>
      <c r="D188" t="s">
        <v>10</v>
      </c>
      <c r="E188" t="s">
        <v>445</v>
      </c>
      <c r="F188" t="s">
        <v>34</v>
      </c>
      <c r="G188" t="str">
        <f>HYPERLINK(_xlfn.CONCAT("https://tablet.otzar.org/",CHAR(35),"/exKotar/688055"),"פני שלמה - 6 כרכים")</f>
        <v>פני שלמה - 6 כרכים</v>
      </c>
      <c r="H188" t="str">
        <f>_xlfn.CONCAT("https://tablet.otzar.org/",CHAR(35),"/exKotar/688055")</f>
        <v>https://tablet.otzar.org/#/exKotar/688055</v>
      </c>
    </row>
    <row r="189" spans="1:8" x14ac:dyDescent="0.25">
      <c r="A189">
        <v>688059</v>
      </c>
      <c r="B189" t="s">
        <v>446</v>
      </c>
      <c r="C189" t="s">
        <v>447</v>
      </c>
      <c r="D189" t="s">
        <v>10</v>
      </c>
      <c r="E189" t="s">
        <v>127</v>
      </c>
      <c r="F189" t="s">
        <v>29</v>
      </c>
      <c r="G189" t="str">
        <f>HYPERLINK(_xlfn.CONCAT("https://tablet.otzar.org/",CHAR(35),"/book/688059/p/-1/t/1/fs/0/start/0/end/0/c"),"פנס שלמה - נ""""ך (תהלים, ישעיהו, הושע)")</f>
        <v>פנס שלמה - נ""ך (תהלים, ישעיהו, הושע)</v>
      </c>
      <c r="H189" t="str">
        <f>_xlfn.CONCAT("https://tablet.otzar.org/",CHAR(35),"/book/688059/p/-1/t/1/fs/0/start/0/end/0/c")</f>
        <v>https://tablet.otzar.org/#/book/688059/p/-1/t/1/fs/0/start/0/end/0/c</v>
      </c>
    </row>
    <row r="190" spans="1:8" x14ac:dyDescent="0.25">
      <c r="A190">
        <v>170510</v>
      </c>
      <c r="B190" t="s">
        <v>448</v>
      </c>
      <c r="C190" t="s">
        <v>334</v>
      </c>
      <c r="D190" t="s">
        <v>10</v>
      </c>
      <c r="E190" t="s">
        <v>149</v>
      </c>
      <c r="G190" t="str">
        <f>HYPERLINK(_xlfn.CONCAT("https://tablet.otzar.org/",CHAR(35),"/book/170510/p/-1/t/1/fs/0/start/0/end/0/c"),"פנקסו של שמואל")</f>
        <v>פנקסו של שמואל</v>
      </c>
      <c r="H190" t="str">
        <f>_xlfn.CONCAT("https://tablet.otzar.org/",CHAR(35),"/book/170510/p/-1/t/1/fs/0/start/0/end/0/c")</f>
        <v>https://tablet.otzar.org/#/book/170510/p/-1/t/1/fs/0/start/0/end/0/c</v>
      </c>
    </row>
    <row r="191" spans="1:8" x14ac:dyDescent="0.25">
      <c r="A191">
        <v>147492</v>
      </c>
      <c r="B191" t="s">
        <v>449</v>
      </c>
      <c r="C191" t="s">
        <v>450</v>
      </c>
      <c r="D191" t="s">
        <v>10</v>
      </c>
      <c r="E191" t="s">
        <v>134</v>
      </c>
      <c r="F191" t="s">
        <v>49</v>
      </c>
      <c r="G191" t="str">
        <f>HYPERLINK(_xlfn.CONCAT("https://tablet.otzar.org/",CHAR(35),"/book/147492/p/-1/t/1/fs/0/start/0/end/0/c"),"פסקי רבינו יחיאל מפאריש")</f>
        <v>פסקי רבינו יחיאל מפאריש</v>
      </c>
      <c r="H191" t="str">
        <f>_xlfn.CONCAT("https://tablet.otzar.org/",CHAR(35),"/book/147492/p/-1/t/1/fs/0/start/0/end/0/c")</f>
        <v>https://tablet.otzar.org/#/book/147492/p/-1/t/1/fs/0/start/0/end/0/c</v>
      </c>
    </row>
    <row r="192" spans="1:8" x14ac:dyDescent="0.25">
      <c r="A192">
        <v>601203</v>
      </c>
      <c r="B192" t="s">
        <v>451</v>
      </c>
      <c r="C192" t="s">
        <v>452</v>
      </c>
      <c r="D192" t="s">
        <v>10</v>
      </c>
      <c r="E192" t="s">
        <v>124</v>
      </c>
      <c r="F192" t="s">
        <v>34</v>
      </c>
      <c r="G192" t="str">
        <f>HYPERLINK(_xlfn.CONCAT("https://tablet.otzar.org/",CHAR(35),"/book/601203/p/-1/t/1/fs/0/start/0/end/0/c"),"פרדס רמונים - שבת")</f>
        <v>פרדס רמונים - שבת</v>
      </c>
      <c r="H192" t="str">
        <f>_xlfn.CONCAT("https://tablet.otzar.org/",CHAR(35),"/book/601203/p/-1/t/1/fs/0/start/0/end/0/c")</f>
        <v>https://tablet.otzar.org/#/book/601203/p/-1/t/1/fs/0/start/0/end/0/c</v>
      </c>
    </row>
    <row r="193" spans="1:8" x14ac:dyDescent="0.25">
      <c r="A193">
        <v>157083</v>
      </c>
      <c r="B193" t="s">
        <v>453</v>
      </c>
      <c r="C193" t="s">
        <v>454</v>
      </c>
      <c r="D193" t="s">
        <v>10</v>
      </c>
      <c r="E193" t="s">
        <v>131</v>
      </c>
      <c r="F193" t="s">
        <v>104</v>
      </c>
      <c r="G193" t="str">
        <f>HYPERLINK(_xlfn.CONCAT("https://tablet.otzar.org/",CHAR(35),"/book/157083/p/-1/t/1/fs/0/start/0/end/0/c"),"פרי מגדים &lt;דיני מגדים&gt; - בשר בחלב ותערובות")</f>
        <v>פרי מגדים &lt;דיני מגדים&gt; - בשר בחלב ותערובות</v>
      </c>
      <c r="H193" t="str">
        <f>_xlfn.CONCAT("https://tablet.otzar.org/",CHAR(35),"/book/157083/p/-1/t/1/fs/0/start/0/end/0/c")</f>
        <v>https://tablet.otzar.org/#/book/157083/p/-1/t/1/fs/0/start/0/end/0/c</v>
      </c>
    </row>
    <row r="194" spans="1:8" x14ac:dyDescent="0.25">
      <c r="A194">
        <v>147431</v>
      </c>
      <c r="B194" t="s">
        <v>455</v>
      </c>
      <c r="C194" t="s">
        <v>456</v>
      </c>
      <c r="D194" t="s">
        <v>10</v>
      </c>
      <c r="E194" t="s">
        <v>58</v>
      </c>
      <c r="F194" t="s">
        <v>91</v>
      </c>
      <c r="G194" t="str">
        <f>HYPERLINK(_xlfn.CONCAT("https://tablet.otzar.org/",CHAR(35),"/exKotar/147431"),"פרי מגדים עם פירוש מגד שמים - 2 כרכים")</f>
        <v>פרי מגדים עם פירוש מגד שמים - 2 כרכים</v>
      </c>
      <c r="H194" t="str">
        <f>_xlfn.CONCAT("https://tablet.otzar.org/",CHAR(35),"/exKotar/147431")</f>
        <v>https://tablet.otzar.org/#/exKotar/147431</v>
      </c>
    </row>
    <row r="195" spans="1:8" x14ac:dyDescent="0.25">
      <c r="A195">
        <v>147394</v>
      </c>
      <c r="B195" t="s">
        <v>457</v>
      </c>
      <c r="C195" t="s">
        <v>458</v>
      </c>
      <c r="D195" t="s">
        <v>10</v>
      </c>
      <c r="E195" t="s">
        <v>287</v>
      </c>
      <c r="F195" t="s">
        <v>16</v>
      </c>
      <c r="G195" t="str">
        <f>HYPERLINK(_xlfn.CONCAT("https://tablet.otzar.org/",CHAR(35),"/book/147394/p/-1/t/1/fs/0/start/0/end/0/c"),"פרקי אבות עם פירוש הרמב""""ם וקיצור אברבנאל")</f>
        <v>פרקי אבות עם פירוש הרמב""ם וקיצור אברבנאל</v>
      </c>
      <c r="H195" t="str">
        <f>_xlfn.CONCAT("https://tablet.otzar.org/",CHAR(35),"/book/147394/p/-1/t/1/fs/0/start/0/end/0/c")</f>
        <v>https://tablet.otzar.org/#/book/147394/p/-1/t/1/fs/0/start/0/end/0/c</v>
      </c>
    </row>
    <row r="196" spans="1:8" x14ac:dyDescent="0.25">
      <c r="A196">
        <v>622088</v>
      </c>
      <c r="B196" t="s">
        <v>459</v>
      </c>
      <c r="C196" t="s">
        <v>460</v>
      </c>
      <c r="D196" t="s">
        <v>10</v>
      </c>
      <c r="E196" t="s">
        <v>31</v>
      </c>
      <c r="F196" t="s">
        <v>12</v>
      </c>
      <c r="G196" t="str">
        <f>HYPERLINK(_xlfn.CONCAT("https://tablet.otzar.org/",CHAR(35),"/book/622088/p/-1/t/1/fs/0/start/0/end/0/c"),"פרשנות")</f>
        <v>פרשנות</v>
      </c>
      <c r="H196" t="str">
        <f>_xlfn.CONCAT("https://tablet.otzar.org/",CHAR(35),"/book/622088/p/-1/t/1/fs/0/start/0/end/0/c")</f>
        <v>https://tablet.otzar.org/#/book/622088/p/-1/t/1/fs/0/start/0/end/0/c</v>
      </c>
    </row>
    <row r="197" spans="1:8" x14ac:dyDescent="0.25">
      <c r="A197">
        <v>147373</v>
      </c>
      <c r="B197" t="s">
        <v>461</v>
      </c>
      <c r="C197" t="s">
        <v>462</v>
      </c>
      <c r="D197" t="s">
        <v>10</v>
      </c>
      <c r="E197" t="s">
        <v>290</v>
      </c>
      <c r="F197" t="s">
        <v>100</v>
      </c>
      <c r="G197" t="str">
        <f>HYPERLINK(_xlfn.CONCAT("https://tablet.otzar.org/",CHAR(35),"/book/147373/p/-1/t/1/fs/0/start/0/end/0/c"),"פתחי דין")</f>
        <v>פתחי דין</v>
      </c>
      <c r="H197" t="str">
        <f>_xlfn.CONCAT("https://tablet.otzar.org/",CHAR(35),"/book/147373/p/-1/t/1/fs/0/start/0/end/0/c")</f>
        <v>https://tablet.otzar.org/#/book/147373/p/-1/t/1/fs/0/start/0/end/0/c</v>
      </c>
    </row>
    <row r="198" spans="1:8" x14ac:dyDescent="0.25">
      <c r="A198">
        <v>147374</v>
      </c>
      <c r="B198" t="s">
        <v>463</v>
      </c>
      <c r="C198" t="s">
        <v>464</v>
      </c>
      <c r="D198" t="s">
        <v>10</v>
      </c>
      <c r="E198" t="s">
        <v>287</v>
      </c>
      <c r="F198" t="s">
        <v>417</v>
      </c>
      <c r="G198" t="str">
        <f>HYPERLINK(_xlfn.CONCAT("https://tablet.otzar.org/",CHAR(35),"/book/147374/p/-1/t/1/fs/0/start/0/end/0/c"),"צבא רב &lt;מכון ירושלים&gt;")</f>
        <v>צבא רב &lt;מכון ירושלים&gt;</v>
      </c>
      <c r="H198" t="str">
        <f>_xlfn.CONCAT("https://tablet.otzar.org/",CHAR(35),"/book/147374/p/-1/t/1/fs/0/start/0/end/0/c")</f>
        <v>https://tablet.otzar.org/#/book/147374/p/-1/t/1/fs/0/start/0/end/0/c</v>
      </c>
    </row>
    <row r="199" spans="1:8" x14ac:dyDescent="0.25">
      <c r="A199">
        <v>147400</v>
      </c>
      <c r="B199" t="s">
        <v>465</v>
      </c>
      <c r="C199" t="s">
        <v>466</v>
      </c>
      <c r="D199" t="s">
        <v>10</v>
      </c>
      <c r="E199" t="s">
        <v>42</v>
      </c>
      <c r="F199" t="s">
        <v>467</v>
      </c>
      <c r="G199" t="str">
        <f>HYPERLINK(_xlfn.CONCAT("https://tablet.otzar.org/",CHAR(35),"/book/147400/p/-1/t/1/fs/0/start/0/end/0/c"),"צדיק באמונתו")</f>
        <v>צדיק באמונתו</v>
      </c>
      <c r="H199" t="str">
        <f>_xlfn.CONCAT("https://tablet.otzar.org/",CHAR(35),"/book/147400/p/-1/t/1/fs/0/start/0/end/0/c")</f>
        <v>https://tablet.otzar.org/#/book/147400/p/-1/t/1/fs/0/start/0/end/0/c</v>
      </c>
    </row>
    <row r="200" spans="1:8" x14ac:dyDescent="0.25">
      <c r="A200">
        <v>192381</v>
      </c>
      <c r="B200" t="s">
        <v>468</v>
      </c>
      <c r="C200" t="s">
        <v>362</v>
      </c>
      <c r="D200" t="s">
        <v>10</v>
      </c>
      <c r="E200" t="s">
        <v>469</v>
      </c>
      <c r="F200" t="s">
        <v>34</v>
      </c>
      <c r="G200" t="str">
        <f>HYPERLINK(_xlfn.CONCAT("https://tablet.otzar.org/",CHAR(35),"/book/192381/p/-1/t/1/fs/0/start/0/end/0/c"),"צל""""ח - פסחים")</f>
        <v>צל""ח - פסחים</v>
      </c>
      <c r="H200" t="str">
        <f>_xlfn.CONCAT("https://tablet.otzar.org/",CHAR(35),"/book/192381/p/-1/t/1/fs/0/start/0/end/0/c")</f>
        <v>https://tablet.otzar.org/#/book/192381/p/-1/t/1/fs/0/start/0/end/0/c</v>
      </c>
    </row>
    <row r="201" spans="1:8" x14ac:dyDescent="0.25">
      <c r="A201">
        <v>656865</v>
      </c>
      <c r="B201" t="s">
        <v>470</v>
      </c>
      <c r="C201" t="s">
        <v>471</v>
      </c>
      <c r="D201" t="s">
        <v>10</v>
      </c>
      <c r="E201" t="s">
        <v>103</v>
      </c>
      <c r="F201" t="s">
        <v>137</v>
      </c>
      <c r="G201" t="str">
        <f>HYPERLINK(_xlfn.CONCAT("https://tablet.otzar.org/",CHAR(35),"/exKotar/656865"),"צפנת פענח על הרמב""""ם &lt;מכון ירושלים&gt;  - 2 כרכים")</f>
        <v>צפנת פענח על הרמב""ם &lt;מכון ירושלים&gt;  - 2 כרכים</v>
      </c>
      <c r="H201" t="str">
        <f>_xlfn.CONCAT("https://tablet.otzar.org/",CHAR(35),"/exKotar/656865")</f>
        <v>https://tablet.otzar.org/#/exKotar/656865</v>
      </c>
    </row>
    <row r="202" spans="1:8" x14ac:dyDescent="0.25">
      <c r="A202">
        <v>619908</v>
      </c>
      <c r="B202" t="s">
        <v>472</v>
      </c>
      <c r="C202" t="s">
        <v>473</v>
      </c>
      <c r="D202" t="s">
        <v>10</v>
      </c>
      <c r="E202" t="s">
        <v>31</v>
      </c>
      <c r="F202" t="s">
        <v>179</v>
      </c>
      <c r="G202" t="str">
        <f>HYPERLINK(_xlfn.CONCAT("https://tablet.otzar.org/",CHAR(35),"/book/619908/p/-1/t/1/fs/0/start/0/end/0/c"),"קהילות אוסטריה")</f>
        <v>קהילות אוסטריה</v>
      </c>
      <c r="H202" t="str">
        <f>_xlfn.CONCAT("https://tablet.otzar.org/",CHAR(35),"/book/619908/p/-1/t/1/fs/0/start/0/end/0/c")</f>
        <v>https://tablet.otzar.org/#/book/619908/p/-1/t/1/fs/0/start/0/end/0/c</v>
      </c>
    </row>
    <row r="203" spans="1:8" x14ac:dyDescent="0.25">
      <c r="A203">
        <v>164599</v>
      </c>
      <c r="B203" t="s">
        <v>474</v>
      </c>
      <c r="C203" t="s">
        <v>473</v>
      </c>
      <c r="D203" t="s">
        <v>10</v>
      </c>
      <c r="E203" t="s">
        <v>131</v>
      </c>
      <c r="F203" t="s">
        <v>179</v>
      </c>
      <c r="G203" t="str">
        <f>HYPERLINK(_xlfn.CONCAT("https://tablet.otzar.org/",CHAR(35),"/book/164599/p/-1/t/1/fs/0/start/0/end/0/c"),"קהילות הונגריה")</f>
        <v>קהילות הונגריה</v>
      </c>
      <c r="H203" t="str">
        <f>_xlfn.CONCAT("https://tablet.otzar.org/",CHAR(35),"/book/164599/p/-1/t/1/fs/0/start/0/end/0/c")</f>
        <v>https://tablet.otzar.org/#/book/164599/p/-1/t/1/fs/0/start/0/end/0/c</v>
      </c>
    </row>
    <row r="204" spans="1:8" x14ac:dyDescent="0.25">
      <c r="A204">
        <v>147399</v>
      </c>
      <c r="B204" t="s">
        <v>475</v>
      </c>
      <c r="C204" t="s">
        <v>476</v>
      </c>
      <c r="D204" t="s">
        <v>10</v>
      </c>
      <c r="E204" t="s">
        <v>77</v>
      </c>
      <c r="F204" t="s">
        <v>374</v>
      </c>
      <c r="G204" t="str">
        <f>HYPERLINK(_xlfn.CONCAT("https://tablet.otzar.org/",CHAR(35),"/book/147399/p/-1/t/1/fs/0/start/0/end/0/c"),"קובץ בעניני השמיטה")</f>
        <v>קובץ בעניני השמיטה</v>
      </c>
      <c r="H204" t="str">
        <f>_xlfn.CONCAT("https://tablet.otzar.org/",CHAR(35),"/book/147399/p/-1/t/1/fs/0/start/0/end/0/c")</f>
        <v>https://tablet.otzar.org/#/book/147399/p/-1/t/1/fs/0/start/0/end/0/c</v>
      </c>
    </row>
    <row r="205" spans="1:8" x14ac:dyDescent="0.25">
      <c r="A205">
        <v>157099</v>
      </c>
      <c r="B205" t="s">
        <v>477</v>
      </c>
      <c r="C205" t="s">
        <v>478</v>
      </c>
      <c r="D205" t="s">
        <v>10</v>
      </c>
      <c r="E205" t="s">
        <v>46</v>
      </c>
      <c r="F205" t="s">
        <v>34</v>
      </c>
      <c r="G205" t="str">
        <f>HYPERLINK(_xlfn.CONCAT("https://tablet.otzar.org/",CHAR(35),"/exKotar/157099"),"קובץ המועדים - 4 כרכים")</f>
        <v>קובץ המועדים - 4 כרכים</v>
      </c>
      <c r="H205" t="str">
        <f>_xlfn.CONCAT("https://tablet.otzar.org/",CHAR(35),"/exKotar/157099")</f>
        <v>https://tablet.otzar.org/#/exKotar/157099</v>
      </c>
    </row>
    <row r="206" spans="1:8" x14ac:dyDescent="0.25">
      <c r="A206">
        <v>175484</v>
      </c>
      <c r="B206" t="s">
        <v>479</v>
      </c>
      <c r="C206" t="s">
        <v>478</v>
      </c>
      <c r="D206" t="s">
        <v>10</v>
      </c>
      <c r="E206" t="s">
        <v>149</v>
      </c>
      <c r="F206" t="s">
        <v>480</v>
      </c>
      <c r="G206" t="str">
        <f>HYPERLINK(_xlfn.CONCAT("https://tablet.otzar.org/",CHAR(35),"/book/175484/p/-1/t/1/fs/0/start/0/end/0/c"),"קונטרס ואכלת ושבעת וברכת")</f>
        <v>קונטרס ואכלת ושבעת וברכת</v>
      </c>
      <c r="H206" t="str">
        <f>_xlfn.CONCAT("https://tablet.otzar.org/",CHAR(35),"/book/175484/p/-1/t/1/fs/0/start/0/end/0/c")</f>
        <v>https://tablet.otzar.org/#/book/175484/p/-1/t/1/fs/0/start/0/end/0/c</v>
      </c>
    </row>
    <row r="207" spans="1:8" x14ac:dyDescent="0.25">
      <c r="A207">
        <v>147435</v>
      </c>
      <c r="B207" t="s">
        <v>481</v>
      </c>
      <c r="C207" t="s">
        <v>139</v>
      </c>
      <c r="D207" t="s">
        <v>10</v>
      </c>
      <c r="E207" t="s">
        <v>48</v>
      </c>
      <c r="F207" t="s">
        <v>34</v>
      </c>
      <c r="G207" t="str">
        <f>HYPERLINK(_xlfn.CONCAT("https://tablet.otzar.org/",CHAR(35),"/exKotar/147435"),"ראש יוסף &lt;מכון ירושלים&gt;  - 2 כרכים")</f>
        <v>ראש יוסף &lt;מכון ירושלים&gt;  - 2 כרכים</v>
      </c>
      <c r="H207" t="str">
        <f>_xlfn.CONCAT("https://tablet.otzar.org/",CHAR(35),"/exKotar/147435")</f>
        <v>https://tablet.otzar.org/#/exKotar/147435</v>
      </c>
    </row>
    <row r="208" spans="1:8" x14ac:dyDescent="0.25">
      <c r="A208">
        <v>170516</v>
      </c>
      <c r="B208" t="s">
        <v>482</v>
      </c>
      <c r="C208" t="s">
        <v>483</v>
      </c>
      <c r="D208" t="s">
        <v>10</v>
      </c>
      <c r="E208" t="s">
        <v>149</v>
      </c>
      <c r="F208" t="s">
        <v>78</v>
      </c>
      <c r="G208" t="str">
        <f>HYPERLINK(_xlfn.CONCAT("https://tablet.otzar.org/",CHAR(35),"/book/170516/p/-1/t/1/fs/0/start/0/end/0/c"),"שאלות ותשובות רבינו חיים כפוסי")</f>
        <v>שאלות ותשובות רבינו חיים כפוסי</v>
      </c>
      <c r="H208" t="str">
        <f>_xlfn.CONCAT("https://tablet.otzar.org/",CHAR(35),"/book/170516/p/-1/t/1/fs/0/start/0/end/0/c")</f>
        <v>https://tablet.otzar.org/#/book/170516/p/-1/t/1/fs/0/start/0/end/0/c</v>
      </c>
    </row>
    <row r="209" spans="1:8" x14ac:dyDescent="0.25">
      <c r="A209">
        <v>634123</v>
      </c>
      <c r="B209" t="s">
        <v>484</v>
      </c>
      <c r="C209" t="s">
        <v>485</v>
      </c>
      <c r="D209" t="s">
        <v>10</v>
      </c>
      <c r="E209" t="s">
        <v>36</v>
      </c>
      <c r="F209" t="s">
        <v>49</v>
      </c>
      <c r="G209" t="str">
        <f>HYPERLINK(_xlfn.CONCAT("https://tablet.otzar.org/",CHAR(35),"/exKotar/634123"),"שבילי השלחן - 2 כרכים")</f>
        <v>שבילי השלחן - 2 כרכים</v>
      </c>
      <c r="H209" t="str">
        <f>_xlfn.CONCAT("https://tablet.otzar.org/",CHAR(35),"/exKotar/634123")</f>
        <v>https://tablet.otzar.org/#/exKotar/634123</v>
      </c>
    </row>
    <row r="210" spans="1:8" x14ac:dyDescent="0.25">
      <c r="A210">
        <v>147424</v>
      </c>
      <c r="B210" t="s">
        <v>486</v>
      </c>
      <c r="C210" t="s">
        <v>487</v>
      </c>
      <c r="D210" t="s">
        <v>10</v>
      </c>
      <c r="E210" t="s">
        <v>153</v>
      </c>
      <c r="F210" t="s">
        <v>488</v>
      </c>
      <c r="G210" t="str">
        <f>HYPERLINK(_xlfn.CONCAT("https://tablet.otzar.org/",CHAR(35),"/book/147424/p/-1/t/1/fs/0/start/0/end/0/c"),"שבילי חיים")</f>
        <v>שבילי חיים</v>
      </c>
      <c r="H210" t="str">
        <f>_xlfn.CONCAT("https://tablet.otzar.org/",CHAR(35),"/book/147424/p/-1/t/1/fs/0/start/0/end/0/c")</f>
        <v>https://tablet.otzar.org/#/book/147424/p/-1/t/1/fs/0/start/0/end/0/c</v>
      </c>
    </row>
    <row r="211" spans="1:8" x14ac:dyDescent="0.25">
      <c r="A211">
        <v>147048</v>
      </c>
      <c r="B211" t="s">
        <v>489</v>
      </c>
      <c r="C211" t="s">
        <v>490</v>
      </c>
      <c r="D211" t="s">
        <v>10</v>
      </c>
      <c r="E211" t="s">
        <v>61</v>
      </c>
      <c r="F211" t="s">
        <v>49</v>
      </c>
      <c r="G211" t="str">
        <f>HYPERLINK(_xlfn.CONCAT("https://tablet.otzar.org/",CHAR(35),"/book/147048/p/-1/t/1/fs/0/start/0/end/0/c"),"שבלי הלקט - החלק השני")</f>
        <v>שבלי הלקט - החלק השני</v>
      </c>
      <c r="H211" t="str">
        <f>_xlfn.CONCAT("https://tablet.otzar.org/",CHAR(35),"/book/147048/p/-1/t/1/fs/0/start/0/end/0/c")</f>
        <v>https://tablet.otzar.org/#/book/147048/p/-1/t/1/fs/0/start/0/end/0/c</v>
      </c>
    </row>
    <row r="212" spans="1:8" x14ac:dyDescent="0.25">
      <c r="A212">
        <v>146642</v>
      </c>
      <c r="B212" t="s">
        <v>491</v>
      </c>
      <c r="C212" t="s">
        <v>492</v>
      </c>
      <c r="D212" t="s">
        <v>10</v>
      </c>
      <c r="E212" t="s">
        <v>127</v>
      </c>
      <c r="F212" t="s">
        <v>78</v>
      </c>
      <c r="G212" t="str">
        <f>HYPERLINK(_xlfn.CONCAT("https://tablet.otzar.org/",CHAR(35),"/book/146642/p/-1/t/1/fs/0/start/0/end/0/c"),"שו""""ת אור שמח - א-ב")</f>
        <v>שו""ת אור שמח - א-ב</v>
      </c>
      <c r="H212" t="str">
        <f>_xlfn.CONCAT("https://tablet.otzar.org/",CHAR(35),"/book/146642/p/-1/t/1/fs/0/start/0/end/0/c")</f>
        <v>https://tablet.otzar.org/#/book/146642/p/-1/t/1/fs/0/start/0/end/0/c</v>
      </c>
    </row>
    <row r="213" spans="1:8" x14ac:dyDescent="0.25">
      <c r="A213">
        <v>147068</v>
      </c>
      <c r="B213" t="s">
        <v>493</v>
      </c>
      <c r="C213" t="s">
        <v>494</v>
      </c>
      <c r="D213" t="s">
        <v>10</v>
      </c>
      <c r="E213" t="s">
        <v>87</v>
      </c>
      <c r="F213" t="s">
        <v>78</v>
      </c>
      <c r="G213" t="str">
        <f>HYPERLINK(_xlfn.CONCAT("https://tablet.otzar.org/",CHAR(35),"/book/147068/p/-1/t/1/fs/0/start/0/end/0/c"),"שו""""ת באר מרדכי")</f>
        <v>שו""ת באר מרדכי</v>
      </c>
      <c r="H213" t="str">
        <f>_xlfn.CONCAT("https://tablet.otzar.org/",CHAR(35),"/book/147068/p/-1/t/1/fs/0/start/0/end/0/c")</f>
        <v>https://tablet.otzar.org/#/book/147068/p/-1/t/1/fs/0/start/0/end/0/c</v>
      </c>
    </row>
    <row r="214" spans="1:8" x14ac:dyDescent="0.25">
      <c r="A214">
        <v>147037</v>
      </c>
      <c r="B214" t="s">
        <v>495</v>
      </c>
      <c r="C214" t="s">
        <v>114</v>
      </c>
      <c r="D214" t="s">
        <v>10</v>
      </c>
      <c r="E214" t="s">
        <v>127</v>
      </c>
      <c r="F214" t="s">
        <v>78</v>
      </c>
      <c r="G214" t="str">
        <f>HYPERLINK(_xlfn.CONCAT("https://tablet.otzar.org/",CHAR(35),"/book/147037/p/-1/t/1/fs/0/start/0/end/0/c"),"שו""""ת בית ישראל")</f>
        <v>שו""ת בית ישראל</v>
      </c>
      <c r="H214" t="str">
        <f>_xlfn.CONCAT("https://tablet.otzar.org/",CHAR(35),"/book/147037/p/-1/t/1/fs/0/start/0/end/0/c")</f>
        <v>https://tablet.otzar.org/#/book/147037/p/-1/t/1/fs/0/start/0/end/0/c</v>
      </c>
    </row>
    <row r="215" spans="1:8" x14ac:dyDescent="0.25">
      <c r="A215">
        <v>147483</v>
      </c>
      <c r="B215" t="s">
        <v>496</v>
      </c>
      <c r="C215" t="s">
        <v>497</v>
      </c>
      <c r="D215" t="s">
        <v>10</v>
      </c>
      <c r="E215" t="s">
        <v>166</v>
      </c>
      <c r="F215" t="s">
        <v>78</v>
      </c>
      <c r="G215" t="str">
        <f>HYPERLINK(_xlfn.CONCAT("https://tablet.otzar.org/",CHAR(35),"/book/147483/p/-1/t/1/fs/0/start/0/end/0/c"),"שו""""ת בית מאיר")</f>
        <v>שו""ת בית מאיר</v>
      </c>
      <c r="H215" t="str">
        <f>_xlfn.CONCAT("https://tablet.otzar.org/",CHAR(35),"/book/147483/p/-1/t/1/fs/0/start/0/end/0/c")</f>
        <v>https://tablet.otzar.org/#/book/147483/p/-1/t/1/fs/0/start/0/end/0/c</v>
      </c>
    </row>
    <row r="216" spans="1:8" x14ac:dyDescent="0.25">
      <c r="A216">
        <v>622086</v>
      </c>
      <c r="B216" t="s">
        <v>498</v>
      </c>
      <c r="C216" t="s">
        <v>499</v>
      </c>
      <c r="D216" t="s">
        <v>10</v>
      </c>
      <c r="E216" t="s">
        <v>31</v>
      </c>
      <c r="F216" t="s">
        <v>78</v>
      </c>
      <c r="G216" t="str">
        <f>HYPERLINK(_xlfn.CONCAT("https://tablet.otzar.org/",CHAR(35),"/book/622086/p/-1/t/1/fs/0/start/0/end/0/c"),"שו""""ת הר""""י מיגאש &lt;מכון ירושלים&gt;")</f>
        <v>שו""ת הר""י מיגאש &lt;מכון ירושלים&gt;</v>
      </c>
      <c r="H216" t="str">
        <f>_xlfn.CONCAT("https://tablet.otzar.org/",CHAR(35),"/book/622086/p/-1/t/1/fs/0/start/0/end/0/c")</f>
        <v>https://tablet.otzar.org/#/book/622086/p/-1/t/1/fs/0/start/0/end/0/c</v>
      </c>
    </row>
    <row r="217" spans="1:8" x14ac:dyDescent="0.25">
      <c r="A217">
        <v>146794</v>
      </c>
      <c r="B217" t="s">
        <v>500</v>
      </c>
      <c r="C217" t="s">
        <v>501</v>
      </c>
      <c r="D217" t="s">
        <v>10</v>
      </c>
      <c r="E217" t="s">
        <v>84</v>
      </c>
      <c r="F217" t="s">
        <v>78</v>
      </c>
      <c r="G217" t="str">
        <f>HYPERLINK(_xlfn.CONCAT("https://tablet.otzar.org/",CHAR(35),"/book/146794/p/-1/t/1/fs/0/start/0/end/0/c"),"שו""""ת הרא""""ש &lt;מכון ירושלים&gt;")</f>
        <v>שו""ת הרא""ש &lt;מכון ירושלים&gt;</v>
      </c>
      <c r="H217" t="str">
        <f>_xlfn.CONCAT("https://tablet.otzar.org/",CHAR(35),"/book/146794/p/-1/t/1/fs/0/start/0/end/0/c")</f>
        <v>https://tablet.otzar.org/#/book/146794/p/-1/t/1/fs/0/start/0/end/0/c</v>
      </c>
    </row>
    <row r="218" spans="1:8" x14ac:dyDescent="0.25">
      <c r="A218">
        <v>150972</v>
      </c>
      <c r="B218" t="s">
        <v>502</v>
      </c>
      <c r="C218" t="s">
        <v>503</v>
      </c>
      <c r="D218" t="s">
        <v>10</v>
      </c>
      <c r="E218" t="s">
        <v>22</v>
      </c>
      <c r="F218" t="s">
        <v>78</v>
      </c>
      <c r="G218" t="str">
        <f>HYPERLINK(_xlfn.CONCAT("https://tablet.otzar.org/",CHAR(35),"/book/150972/p/-1/t/1/fs/0/start/0/end/0/c"),"שו""""ת הרי""""ף &lt;מכון ירושלים&gt;")</f>
        <v>שו""ת הרי""ף &lt;מכון ירושלים&gt;</v>
      </c>
      <c r="H218" t="str">
        <f>_xlfn.CONCAT("https://tablet.otzar.org/",CHAR(35),"/book/150972/p/-1/t/1/fs/0/start/0/end/0/c")</f>
        <v>https://tablet.otzar.org/#/book/150972/p/-1/t/1/fs/0/start/0/end/0/c</v>
      </c>
    </row>
    <row r="219" spans="1:8" x14ac:dyDescent="0.25">
      <c r="A219">
        <v>147508</v>
      </c>
      <c r="B219" t="s">
        <v>504</v>
      </c>
      <c r="C219" t="s">
        <v>505</v>
      </c>
      <c r="D219" t="s">
        <v>10</v>
      </c>
      <c r="E219" t="s">
        <v>202</v>
      </c>
      <c r="F219" t="s">
        <v>78</v>
      </c>
      <c r="G219" t="str">
        <f>HYPERLINK(_xlfn.CONCAT("https://tablet.otzar.org/",CHAR(35),"/exKotar/147508"),"שו""""ת הריב""""ש &lt;מכון ירושלים&gt;  - 2 כרכים")</f>
        <v>שו""ת הריב""ש &lt;מכון ירושלים&gt;  - 2 כרכים</v>
      </c>
      <c r="H219" t="str">
        <f>_xlfn.CONCAT("https://tablet.otzar.org/",CHAR(35),"/exKotar/147508")</f>
        <v>https://tablet.otzar.org/#/exKotar/147508</v>
      </c>
    </row>
    <row r="220" spans="1:8" x14ac:dyDescent="0.25">
      <c r="A220">
        <v>147412</v>
      </c>
      <c r="B220" t="s">
        <v>506</v>
      </c>
      <c r="C220" t="s">
        <v>507</v>
      </c>
      <c r="D220" t="s">
        <v>10</v>
      </c>
      <c r="E220" t="s">
        <v>97</v>
      </c>
      <c r="F220" t="s">
        <v>78</v>
      </c>
      <c r="G220" t="str">
        <f>HYPERLINK(_xlfn.CONCAT("https://tablet.otzar.org/",CHAR(35),"/book/147412/p/-1/t/1/fs/0/start/0/end/0/c"),"שו""""ת הרמב""""ם &lt;פאר הדור&gt;")</f>
        <v>שו""ת הרמב""ם &lt;פאר הדור&gt;</v>
      </c>
      <c r="H220" t="str">
        <f>_xlfn.CONCAT("https://tablet.otzar.org/",CHAR(35),"/book/147412/p/-1/t/1/fs/0/start/0/end/0/c")</f>
        <v>https://tablet.otzar.org/#/book/147412/p/-1/t/1/fs/0/start/0/end/0/c</v>
      </c>
    </row>
    <row r="221" spans="1:8" x14ac:dyDescent="0.25">
      <c r="A221">
        <v>610248</v>
      </c>
      <c r="B221" t="s">
        <v>508</v>
      </c>
      <c r="C221" t="s">
        <v>507</v>
      </c>
      <c r="D221" t="s">
        <v>10</v>
      </c>
      <c r="E221" t="s">
        <v>36</v>
      </c>
      <c r="F221" t="s">
        <v>78</v>
      </c>
      <c r="G221" t="str">
        <f>HYPERLINK(_xlfn.CONCAT("https://tablet.otzar.org/",CHAR(35),"/exKotar/610248"),"שו""""ת הרמב""""ם &lt;מהדורה חדשה&gt;  - 2 כרכים")</f>
        <v>שו""ת הרמב""ם &lt;מהדורה חדשה&gt;  - 2 כרכים</v>
      </c>
      <c r="H221" t="str">
        <f>_xlfn.CONCAT("https://tablet.otzar.org/",CHAR(35),"/exKotar/610248")</f>
        <v>https://tablet.otzar.org/#/exKotar/610248</v>
      </c>
    </row>
    <row r="222" spans="1:8" x14ac:dyDescent="0.25">
      <c r="A222">
        <v>147385</v>
      </c>
      <c r="B222" t="s">
        <v>509</v>
      </c>
      <c r="C222" t="s">
        <v>510</v>
      </c>
      <c r="D222" t="s">
        <v>10</v>
      </c>
      <c r="E222" t="s">
        <v>153</v>
      </c>
      <c r="F222" t="s">
        <v>78</v>
      </c>
      <c r="G222" t="str">
        <f>HYPERLINK(_xlfn.CONCAT("https://tablet.otzar.org/",CHAR(35),"/exKotar/147385"),"שו""""ת הרשב""""א &lt;מכון ירושלים&gt;  - 8 כרכים")</f>
        <v>שו""ת הרשב""א &lt;מכון ירושלים&gt;  - 8 כרכים</v>
      </c>
      <c r="H222" t="str">
        <f>_xlfn.CONCAT("https://tablet.otzar.org/",CHAR(35),"/exKotar/147385")</f>
        <v>https://tablet.otzar.org/#/exKotar/147385</v>
      </c>
    </row>
    <row r="223" spans="1:8" x14ac:dyDescent="0.25">
      <c r="A223">
        <v>147500</v>
      </c>
      <c r="B223" t="s">
        <v>511</v>
      </c>
      <c r="C223" t="s">
        <v>512</v>
      </c>
      <c r="D223" t="s">
        <v>10</v>
      </c>
      <c r="E223" t="s">
        <v>127</v>
      </c>
      <c r="F223" t="s">
        <v>78</v>
      </c>
      <c r="G223" t="str">
        <f>HYPERLINK(_xlfn.CONCAT("https://tablet.otzar.org/",CHAR(35),"/book/147500/p/-1/t/1/fs/0/start/0/end/0/c"),"שו""""ת הרשב""""ש &lt;מכון ירושלים&gt;")</f>
        <v>שו""ת הרשב""ש &lt;מכון ירושלים&gt;</v>
      </c>
      <c r="H223" t="str">
        <f>_xlfn.CONCAT("https://tablet.otzar.org/",CHAR(35),"/book/147500/p/-1/t/1/fs/0/start/0/end/0/c")</f>
        <v>https://tablet.otzar.org/#/book/147500/p/-1/t/1/fs/0/start/0/end/0/c</v>
      </c>
    </row>
    <row r="224" spans="1:8" x14ac:dyDescent="0.25">
      <c r="A224">
        <v>147456</v>
      </c>
      <c r="B224" t="s">
        <v>513</v>
      </c>
      <c r="C224" t="s">
        <v>514</v>
      </c>
      <c r="D224" t="s">
        <v>10</v>
      </c>
      <c r="E224" t="s">
        <v>134</v>
      </c>
      <c r="F224" t="s">
        <v>78</v>
      </c>
      <c r="G224" t="str">
        <f>HYPERLINK(_xlfn.CONCAT("https://tablet.otzar.org/",CHAR(35),"/book/147456/p/-1/t/1/fs/0/start/0/end/0/c"),"שו""""ת וחידושי רבינו בצלאל רנשבורג")</f>
        <v>שו""ת וחידושי רבינו בצלאל רנשבורג</v>
      </c>
      <c r="H224" t="str">
        <f>_xlfn.CONCAT("https://tablet.otzar.org/",CHAR(35),"/book/147456/p/-1/t/1/fs/0/start/0/end/0/c")</f>
        <v>https://tablet.otzar.org/#/book/147456/p/-1/t/1/fs/0/start/0/end/0/c</v>
      </c>
    </row>
    <row r="225" spans="1:8" x14ac:dyDescent="0.25">
      <c r="A225">
        <v>147482</v>
      </c>
      <c r="B225" t="s">
        <v>515</v>
      </c>
      <c r="C225" t="s">
        <v>516</v>
      </c>
      <c r="D225" t="s">
        <v>10</v>
      </c>
      <c r="E225" t="s">
        <v>73</v>
      </c>
      <c r="F225" t="s">
        <v>517</v>
      </c>
      <c r="G225" t="str">
        <f>HYPERLINK(_xlfn.CONCAT("https://tablet.otzar.org/",CHAR(35),"/book/147482/p/-1/t/1/fs/0/start/0/end/0/c"),"שו""""ת וחידושי רבינו מאיר פישלס")</f>
        <v>שו""ת וחידושי רבינו מאיר פישלס</v>
      </c>
      <c r="H225" t="str">
        <f>_xlfn.CONCAT("https://tablet.otzar.org/",CHAR(35),"/book/147482/p/-1/t/1/fs/0/start/0/end/0/c")</f>
        <v>https://tablet.otzar.org/#/book/147482/p/-1/t/1/fs/0/start/0/end/0/c</v>
      </c>
    </row>
    <row r="226" spans="1:8" x14ac:dyDescent="0.25">
      <c r="A226">
        <v>146662</v>
      </c>
      <c r="B226" t="s">
        <v>518</v>
      </c>
      <c r="C226" t="s">
        <v>215</v>
      </c>
      <c r="D226" t="s">
        <v>10</v>
      </c>
      <c r="E226" t="s">
        <v>97</v>
      </c>
      <c r="F226" t="s">
        <v>78</v>
      </c>
      <c r="G226" t="str">
        <f>HYPERLINK(_xlfn.CONCAT("https://tablet.otzar.org/",CHAR(35),"/book/146662/p/-1/t/1/fs/0/start/0/end/0/c"),"שו""""ת ופסקי מהרי""""ק החדשים")</f>
        <v>שו""ת ופסקי מהרי""ק החדשים</v>
      </c>
      <c r="H226" t="str">
        <f>_xlfn.CONCAT("https://tablet.otzar.org/",CHAR(35),"/book/146662/p/-1/t/1/fs/0/start/0/end/0/c")</f>
        <v>https://tablet.otzar.org/#/book/146662/p/-1/t/1/fs/0/start/0/end/0/c</v>
      </c>
    </row>
    <row r="227" spans="1:8" x14ac:dyDescent="0.25">
      <c r="A227">
        <v>147064</v>
      </c>
      <c r="B227" t="s">
        <v>519</v>
      </c>
      <c r="C227" t="s">
        <v>520</v>
      </c>
      <c r="D227" t="s">
        <v>10</v>
      </c>
      <c r="E227" t="s">
        <v>244</v>
      </c>
      <c r="F227" t="s">
        <v>78</v>
      </c>
      <c r="G227" t="str">
        <f>HYPERLINK(_xlfn.CONCAT("https://tablet.otzar.org/",CHAR(35),"/book/147064/p/-1/t/1/fs/0/start/0/end/0/c"),"שו""""ת ופסקים לרבינו יהודה אבן עטר זצ""""ל")</f>
        <v>שו""ת ופסקים לרבינו יהודה אבן עטר זצ""ל</v>
      </c>
      <c r="H227" t="str">
        <f>_xlfn.CONCAT("https://tablet.otzar.org/",CHAR(35),"/book/147064/p/-1/t/1/fs/0/start/0/end/0/c")</f>
        <v>https://tablet.otzar.org/#/book/147064/p/-1/t/1/fs/0/start/0/end/0/c</v>
      </c>
    </row>
    <row r="228" spans="1:8" x14ac:dyDescent="0.25">
      <c r="A228">
        <v>146654</v>
      </c>
      <c r="B228" t="s">
        <v>521</v>
      </c>
      <c r="C228" t="s">
        <v>522</v>
      </c>
      <c r="D228" t="s">
        <v>10</v>
      </c>
      <c r="E228" t="s">
        <v>15</v>
      </c>
      <c r="F228" t="s">
        <v>78</v>
      </c>
      <c r="G228" t="str">
        <f>HYPERLINK(_xlfn.CONCAT("https://tablet.otzar.org/",CHAR(35),"/book/146654/p/-1/t/1/fs/0/start/0/end/0/c"),"שו""""ת יפה נוף")</f>
        <v>שו""ת יפה נוף</v>
      </c>
      <c r="H228" t="str">
        <f>_xlfn.CONCAT("https://tablet.otzar.org/",CHAR(35),"/book/146654/p/-1/t/1/fs/0/start/0/end/0/c")</f>
        <v>https://tablet.otzar.org/#/book/146654/p/-1/t/1/fs/0/start/0/end/0/c</v>
      </c>
    </row>
    <row r="229" spans="1:8" x14ac:dyDescent="0.25">
      <c r="A229">
        <v>146638</v>
      </c>
      <c r="B229" t="s">
        <v>523</v>
      </c>
      <c r="C229" t="s">
        <v>524</v>
      </c>
      <c r="D229" t="s">
        <v>10</v>
      </c>
      <c r="E229" t="s">
        <v>244</v>
      </c>
      <c r="F229" t="s">
        <v>78</v>
      </c>
      <c r="G229" t="str">
        <f>HYPERLINK(_xlfn.CONCAT("https://tablet.otzar.org/",CHAR(35),"/book/146638/p/-1/t/1/fs/0/start/0/end/0/c"),"שו""""ת מגן שאול")</f>
        <v>שו""ת מגן שאול</v>
      </c>
      <c r="H229" t="str">
        <f>_xlfn.CONCAT("https://tablet.otzar.org/",CHAR(35),"/book/146638/p/-1/t/1/fs/0/start/0/end/0/c")</f>
        <v>https://tablet.otzar.org/#/book/146638/p/-1/t/1/fs/0/start/0/end/0/c</v>
      </c>
    </row>
    <row r="230" spans="1:8" x14ac:dyDescent="0.25">
      <c r="A230">
        <v>147534</v>
      </c>
      <c r="B230" t="s">
        <v>525</v>
      </c>
      <c r="C230" t="s">
        <v>526</v>
      </c>
      <c r="D230" t="s">
        <v>10</v>
      </c>
      <c r="E230" t="s">
        <v>77</v>
      </c>
      <c r="F230" t="s">
        <v>78</v>
      </c>
      <c r="G230" t="str">
        <f>HYPERLINK(_xlfn.CONCAT("https://tablet.otzar.org/",CHAR(35),"/book/147534/p/-1/t/1/fs/0/start/0/end/0/c"),"שו""""ת מהר""""י ווייל &lt;מכון ירושלים&gt;")</f>
        <v>שו""ת מהר""י ווייל &lt;מכון ירושלים&gt;</v>
      </c>
      <c r="H230" t="str">
        <f>_xlfn.CONCAT("https://tablet.otzar.org/",CHAR(35),"/book/147534/p/-1/t/1/fs/0/start/0/end/0/c")</f>
        <v>https://tablet.otzar.org/#/book/147534/p/-1/t/1/fs/0/start/0/end/0/c</v>
      </c>
    </row>
    <row r="231" spans="1:8" x14ac:dyDescent="0.25">
      <c r="A231">
        <v>146655</v>
      </c>
      <c r="B231" t="s">
        <v>527</v>
      </c>
      <c r="C231" t="s">
        <v>528</v>
      </c>
      <c r="D231" t="s">
        <v>10</v>
      </c>
      <c r="E231" t="s">
        <v>156</v>
      </c>
      <c r="F231" t="s">
        <v>78</v>
      </c>
      <c r="G231" t="str">
        <f>HYPERLINK(_xlfn.CONCAT("https://tablet.otzar.org/",CHAR(35),"/exKotar/146655"),"שו""""ת מהר""""ם מינץ &lt;מכון ירושלים&gt; - 2 כרכים")</f>
        <v>שו""ת מהר""ם מינץ &lt;מכון ירושלים&gt; - 2 כרכים</v>
      </c>
      <c r="H231" t="str">
        <f>_xlfn.CONCAT("https://tablet.otzar.org/",CHAR(35),"/exKotar/146655")</f>
        <v>https://tablet.otzar.org/#/exKotar/146655</v>
      </c>
    </row>
    <row r="232" spans="1:8" x14ac:dyDescent="0.25">
      <c r="A232">
        <v>193709</v>
      </c>
      <c r="B232" t="s">
        <v>529</v>
      </c>
      <c r="C232" t="s">
        <v>129</v>
      </c>
      <c r="D232" t="s">
        <v>10</v>
      </c>
      <c r="E232" t="s">
        <v>25</v>
      </c>
      <c r="F232" t="s">
        <v>78</v>
      </c>
      <c r="G232" t="str">
        <f>HYPERLINK(_xlfn.CONCAT("https://tablet.otzar.org/",CHAR(35),"/exKotar/193709"),"שו""""ת מהר""""ם מרוטנבורג &lt;מכון ירושלים&gt;  - 3 כרכים")</f>
        <v>שו""ת מהר""ם מרוטנבורג &lt;מכון ירושלים&gt;  - 3 כרכים</v>
      </c>
      <c r="H232" t="str">
        <f>_xlfn.CONCAT("https://tablet.otzar.org/",CHAR(35),"/exKotar/193709")</f>
        <v>https://tablet.otzar.org/#/exKotar/193709</v>
      </c>
    </row>
    <row r="233" spans="1:8" x14ac:dyDescent="0.25">
      <c r="A233">
        <v>146657</v>
      </c>
      <c r="B233" t="s">
        <v>530</v>
      </c>
      <c r="C233" t="s">
        <v>531</v>
      </c>
      <c r="D233" t="s">
        <v>10</v>
      </c>
      <c r="E233" t="s">
        <v>134</v>
      </c>
      <c r="F233" t="s">
        <v>78</v>
      </c>
      <c r="G233" t="str">
        <f>HYPERLINK(_xlfn.CONCAT("https://tablet.otzar.org/",CHAR(35),"/exKotar/146657"),"שו""""ת מהרי""""ט צהלון החדשות - 2 כרכים")</f>
        <v>שו""ת מהרי""ט צהלון החדשות - 2 כרכים</v>
      </c>
      <c r="H233" t="str">
        <f>_xlfn.CONCAT("https://tablet.otzar.org/",CHAR(35),"/exKotar/146657")</f>
        <v>https://tablet.otzar.org/#/exKotar/146657</v>
      </c>
    </row>
    <row r="234" spans="1:8" x14ac:dyDescent="0.25">
      <c r="A234">
        <v>147446</v>
      </c>
      <c r="B234" t="s">
        <v>532</v>
      </c>
      <c r="C234" t="s">
        <v>404</v>
      </c>
      <c r="D234" t="s">
        <v>10</v>
      </c>
      <c r="E234" t="s">
        <v>134</v>
      </c>
      <c r="F234" t="s">
        <v>78</v>
      </c>
      <c r="G234" t="str">
        <f>HYPERLINK(_xlfn.CONCAT("https://tablet.otzar.org/",CHAR(35),"/book/147446/p/-1/t/1/fs/0/start/0/end/0/c"),"שו""""ת מהרי""""ל")</f>
        <v>שו""ת מהרי""ל</v>
      </c>
      <c r="H234" t="str">
        <f>_xlfn.CONCAT("https://tablet.otzar.org/",CHAR(35),"/book/147446/p/-1/t/1/fs/0/start/0/end/0/c")</f>
        <v>https://tablet.otzar.org/#/book/147446/p/-1/t/1/fs/0/start/0/end/0/c</v>
      </c>
    </row>
    <row r="235" spans="1:8" x14ac:dyDescent="0.25">
      <c r="A235">
        <v>147445</v>
      </c>
      <c r="B235" t="s">
        <v>533</v>
      </c>
      <c r="C235" t="s">
        <v>404</v>
      </c>
      <c r="D235" t="s">
        <v>10</v>
      </c>
      <c r="E235" t="s">
        <v>184</v>
      </c>
      <c r="F235" t="s">
        <v>78</v>
      </c>
      <c r="G235" t="str">
        <f>HYPERLINK(_xlfn.CONCAT("https://tablet.otzar.org/",CHAR(35),"/book/147445/p/-1/t/1/fs/0/start/0/end/0/c"),"שו""""ת מהרי""""ל החדשות")</f>
        <v>שו""ת מהרי""ל החדשות</v>
      </c>
      <c r="H235" t="str">
        <f>_xlfn.CONCAT("https://tablet.otzar.org/",CHAR(35),"/book/147445/p/-1/t/1/fs/0/start/0/end/0/c")</f>
        <v>https://tablet.otzar.org/#/book/147445/p/-1/t/1/fs/0/start/0/end/0/c</v>
      </c>
    </row>
    <row r="236" spans="1:8" x14ac:dyDescent="0.25">
      <c r="A236">
        <v>147029</v>
      </c>
      <c r="B236" t="s">
        <v>534</v>
      </c>
      <c r="C236" t="s">
        <v>535</v>
      </c>
      <c r="D236" t="s">
        <v>10</v>
      </c>
      <c r="E236" t="s">
        <v>87</v>
      </c>
      <c r="F236" t="s">
        <v>43</v>
      </c>
      <c r="G236" t="str">
        <f>HYPERLINK(_xlfn.CONCAT("https://tablet.otzar.org/",CHAR(35),"/book/147029/p/-1/t/1/fs/0/start/0/end/0/c"),"שו""""ת משיב דבר")</f>
        <v>שו""ת משיב דבר</v>
      </c>
      <c r="H236" t="str">
        <f>_xlfn.CONCAT("https://tablet.otzar.org/",CHAR(35),"/book/147029/p/-1/t/1/fs/0/start/0/end/0/c")</f>
        <v>https://tablet.otzar.org/#/book/147029/p/-1/t/1/fs/0/start/0/end/0/c</v>
      </c>
    </row>
    <row r="237" spans="1:8" x14ac:dyDescent="0.25">
      <c r="A237">
        <v>688051</v>
      </c>
      <c r="B237" t="s">
        <v>536</v>
      </c>
      <c r="C237" t="s">
        <v>537</v>
      </c>
      <c r="F237" t="s">
        <v>78</v>
      </c>
      <c r="G237" t="str">
        <f>HYPERLINK(_xlfn.CONCAT("https://tablet.otzar.org/",CHAR(35),"/book/688051/p/-1/t/1/fs/0/start/0/end/0/c"),"שו""""ת נחמת שלמה")</f>
        <v>שו""ת נחמת שלמה</v>
      </c>
      <c r="H237" t="str">
        <f>_xlfn.CONCAT("https://tablet.otzar.org/",CHAR(35),"/book/688051/p/-1/t/1/fs/0/start/0/end/0/c")</f>
        <v>https://tablet.otzar.org/#/book/688051/p/-1/t/1/fs/0/start/0/end/0/c</v>
      </c>
    </row>
    <row r="238" spans="1:8" x14ac:dyDescent="0.25">
      <c r="A238">
        <v>147421</v>
      </c>
      <c r="B238" t="s">
        <v>538</v>
      </c>
      <c r="C238" t="s">
        <v>539</v>
      </c>
      <c r="D238" t="s">
        <v>10</v>
      </c>
      <c r="E238" t="s">
        <v>73</v>
      </c>
      <c r="F238" t="s">
        <v>78</v>
      </c>
      <c r="G238" t="str">
        <f>HYPERLINK(_xlfn.CONCAT("https://tablet.otzar.org/",CHAR(35),"/book/147421/p/-1/t/1/fs/0/start/0/end/0/c"),"שו""""ת פאר אהרן")</f>
        <v>שו""ת פאר אהרן</v>
      </c>
      <c r="H238" t="str">
        <f>_xlfn.CONCAT("https://tablet.otzar.org/",CHAR(35),"/book/147421/p/-1/t/1/fs/0/start/0/end/0/c")</f>
        <v>https://tablet.otzar.org/#/book/147421/p/-1/t/1/fs/0/start/0/end/0/c</v>
      </c>
    </row>
    <row r="239" spans="1:8" x14ac:dyDescent="0.25">
      <c r="A239">
        <v>146672</v>
      </c>
      <c r="B239" t="s">
        <v>540</v>
      </c>
      <c r="C239" t="s">
        <v>541</v>
      </c>
      <c r="D239" t="s">
        <v>10</v>
      </c>
      <c r="E239" t="s">
        <v>244</v>
      </c>
      <c r="F239" t="s">
        <v>542</v>
      </c>
      <c r="G239" t="str">
        <f>HYPERLINK(_xlfn.CONCAT("https://tablet.otzar.org/",CHAR(35),"/book/146672/p/-1/t/1/fs/0/start/0/end/0/c"),"שו""""ת רבי נחום טרייביטש")</f>
        <v>שו""ת רבי נחום טרייביטש</v>
      </c>
      <c r="H239" t="str">
        <f>_xlfn.CONCAT("https://tablet.otzar.org/",CHAR(35),"/book/146672/p/-1/t/1/fs/0/start/0/end/0/c")</f>
        <v>https://tablet.otzar.org/#/book/146672/p/-1/t/1/fs/0/start/0/end/0/c</v>
      </c>
    </row>
    <row r="240" spans="1:8" x14ac:dyDescent="0.25">
      <c r="A240">
        <v>146676</v>
      </c>
      <c r="B240" t="s">
        <v>543</v>
      </c>
      <c r="C240" t="s">
        <v>544</v>
      </c>
      <c r="D240" t="s">
        <v>10</v>
      </c>
      <c r="E240" t="s">
        <v>545</v>
      </c>
      <c r="F240" t="s">
        <v>78</v>
      </c>
      <c r="G240" t="str">
        <f>HYPERLINK(_xlfn.CONCAT("https://tablet.otzar.org/",CHAR(35),"/book/146676/p/-1/t/1/fs/0/start/0/end/0/c"),"שו""""ת רבינו אליעזר בן ארחא זצ""""ל")</f>
        <v>שו""ת רבינו אליעזר בן ארחא זצ""ל</v>
      </c>
      <c r="H240" t="str">
        <f>_xlfn.CONCAT("https://tablet.otzar.org/",CHAR(35),"/book/146676/p/-1/t/1/fs/0/start/0/end/0/c")</f>
        <v>https://tablet.otzar.org/#/book/146676/p/-1/t/1/fs/0/start/0/end/0/c</v>
      </c>
    </row>
    <row r="241" spans="1:8" x14ac:dyDescent="0.25">
      <c r="A241">
        <v>146761</v>
      </c>
      <c r="B241" t="s">
        <v>546</v>
      </c>
      <c r="C241" t="s">
        <v>165</v>
      </c>
      <c r="D241" t="s">
        <v>10</v>
      </c>
      <c r="E241" t="s">
        <v>233</v>
      </c>
      <c r="F241" t="s">
        <v>78</v>
      </c>
      <c r="G241" t="str">
        <f>HYPERLINK(_xlfn.CONCAT("https://tablet.otzar.org/",CHAR(35),"/book/146761/p/-1/t/1/fs/0/start/0/end/0/c"),"שו""""ת רבינו יוסף מסלוצק")</f>
        <v>שו""ת רבינו יוסף מסלוצק</v>
      </c>
      <c r="H241" t="str">
        <f>_xlfn.CONCAT("https://tablet.otzar.org/",CHAR(35),"/book/146761/p/-1/t/1/fs/0/start/0/end/0/c")</f>
        <v>https://tablet.otzar.org/#/book/146761/p/-1/t/1/fs/0/start/0/end/0/c</v>
      </c>
    </row>
    <row r="242" spans="1:8" x14ac:dyDescent="0.25">
      <c r="A242">
        <v>146653</v>
      </c>
      <c r="B242" t="s">
        <v>547</v>
      </c>
      <c r="C242" t="s">
        <v>548</v>
      </c>
      <c r="D242" t="s">
        <v>10</v>
      </c>
      <c r="E242" t="s">
        <v>339</v>
      </c>
      <c r="F242" t="s">
        <v>78</v>
      </c>
      <c r="G242" t="str">
        <f>HYPERLINK(_xlfn.CONCAT("https://tablet.otzar.org/",CHAR(35),"/book/146653/p/-1/t/1/fs/0/start/0/end/0/c"),"שו""""ת רבינו יצחק הגדול מפוזנא זצ""""ל")</f>
        <v>שו""ת רבינו יצחק הגדול מפוזנא זצ""ל</v>
      </c>
      <c r="H242" t="str">
        <f>_xlfn.CONCAT("https://tablet.otzar.org/",CHAR(35),"/book/146653/p/-1/t/1/fs/0/start/0/end/0/c")</f>
        <v>https://tablet.otzar.org/#/book/146653/p/-1/t/1/fs/0/start/0/end/0/c</v>
      </c>
    </row>
    <row r="243" spans="1:8" x14ac:dyDescent="0.25">
      <c r="A243">
        <v>146648</v>
      </c>
      <c r="B243" t="s">
        <v>549</v>
      </c>
      <c r="C243" t="s">
        <v>550</v>
      </c>
      <c r="D243" t="s">
        <v>10</v>
      </c>
      <c r="E243" t="s">
        <v>297</v>
      </c>
      <c r="F243" t="s">
        <v>78</v>
      </c>
      <c r="G243" t="str">
        <f>HYPERLINK(_xlfn.CONCAT("https://tablet.otzar.org/",CHAR(35),"/exKotar/146648"),"שו""""ת רבינו מאיר גאויזון זצ""""ל - 2 כרכים")</f>
        <v>שו""ת רבינו מאיר גאויזון זצ""ל - 2 כרכים</v>
      </c>
      <c r="H243" t="str">
        <f>_xlfn.CONCAT("https://tablet.otzar.org/",CHAR(35),"/exKotar/146648")</f>
        <v>https://tablet.otzar.org/#/exKotar/146648</v>
      </c>
    </row>
    <row r="244" spans="1:8" x14ac:dyDescent="0.25">
      <c r="A244">
        <v>147063</v>
      </c>
      <c r="B244" t="s">
        <v>551</v>
      </c>
      <c r="C244" t="s">
        <v>552</v>
      </c>
      <c r="D244" t="s">
        <v>10</v>
      </c>
      <c r="E244" t="s">
        <v>339</v>
      </c>
      <c r="F244" t="s">
        <v>78</v>
      </c>
      <c r="G244" t="str">
        <f>HYPERLINK(_xlfn.CONCAT("https://tablet.otzar.org/",CHAR(35),"/book/147063/p/-1/t/1/fs/0/start/0/end/0/c"),"שו""""ת רבנו יצחק אלגאזי")</f>
        <v>שו""ת רבנו יצחק אלגאזי</v>
      </c>
      <c r="H244" t="str">
        <f>_xlfn.CONCAT("https://tablet.otzar.org/",CHAR(35),"/book/147063/p/-1/t/1/fs/0/start/0/end/0/c")</f>
        <v>https://tablet.otzar.org/#/book/147063/p/-1/t/1/fs/0/start/0/end/0/c</v>
      </c>
    </row>
    <row r="245" spans="1:8" x14ac:dyDescent="0.25">
      <c r="A245">
        <v>147058</v>
      </c>
      <c r="B245" t="s">
        <v>553</v>
      </c>
      <c r="C245" t="s">
        <v>554</v>
      </c>
      <c r="D245" t="s">
        <v>10</v>
      </c>
      <c r="E245" t="s">
        <v>244</v>
      </c>
      <c r="F245" t="s">
        <v>78</v>
      </c>
      <c r="G245" t="str">
        <f>HYPERLINK(_xlfn.CONCAT("https://tablet.otzar.org/",CHAR(35),"/exKotar/147058"),"שו""""ת רבנו משה פרובינצאלו - 2 כרכים")</f>
        <v>שו""ת רבנו משה פרובינצאלו - 2 כרכים</v>
      </c>
      <c r="H245" t="str">
        <f>_xlfn.CONCAT("https://tablet.otzar.org/",CHAR(35),"/exKotar/147058")</f>
        <v>https://tablet.otzar.org/#/exKotar/147058</v>
      </c>
    </row>
    <row r="246" spans="1:8" x14ac:dyDescent="0.25">
      <c r="A246">
        <v>610245</v>
      </c>
      <c r="B246" t="s">
        <v>555</v>
      </c>
      <c r="C246" t="s">
        <v>556</v>
      </c>
      <c r="D246" t="s">
        <v>10</v>
      </c>
      <c r="E246" t="s">
        <v>36</v>
      </c>
      <c r="F246" t="s">
        <v>78</v>
      </c>
      <c r="G246" t="str">
        <f>HYPERLINK(_xlfn.CONCAT("https://tablet.otzar.org/",CHAR(35),"/exKotar/610245"),"שואל ומשיב &lt;מהדורה חדשה&gt;  - 5 כרכים")</f>
        <v>שואל ומשיב &lt;מהדורה חדשה&gt;  - 5 כרכים</v>
      </c>
      <c r="H246" t="str">
        <f>_xlfn.CONCAT("https://tablet.otzar.org/",CHAR(35),"/exKotar/610245")</f>
        <v>https://tablet.otzar.org/#/exKotar/610245</v>
      </c>
    </row>
    <row r="247" spans="1:8" x14ac:dyDescent="0.25">
      <c r="A247">
        <v>633161</v>
      </c>
      <c r="B247" t="s">
        <v>557</v>
      </c>
      <c r="C247" t="s">
        <v>558</v>
      </c>
      <c r="D247" t="s">
        <v>10</v>
      </c>
      <c r="E247" t="s">
        <v>55</v>
      </c>
      <c r="F247" t="s">
        <v>78</v>
      </c>
      <c r="G247" t="str">
        <f>HYPERLINK(_xlfn.CONCAT("https://tablet.otzar.org/",CHAR(35),"/exKotar/633161"),"שיח יצחק - 2 כרכים")</f>
        <v>שיח יצחק - 2 כרכים</v>
      </c>
      <c r="H247" t="str">
        <f>_xlfn.CONCAT("https://tablet.otzar.org/",CHAR(35),"/exKotar/633161")</f>
        <v>https://tablet.otzar.org/#/exKotar/633161</v>
      </c>
    </row>
    <row r="248" spans="1:8" x14ac:dyDescent="0.25">
      <c r="A248">
        <v>146639</v>
      </c>
      <c r="B248" t="s">
        <v>557</v>
      </c>
      <c r="C248" t="s">
        <v>559</v>
      </c>
      <c r="D248" t="s">
        <v>10</v>
      </c>
      <c r="E248" t="s">
        <v>166</v>
      </c>
      <c r="F248" t="s">
        <v>560</v>
      </c>
      <c r="G248" t="str">
        <f>HYPERLINK(_xlfn.CONCAT("https://tablet.otzar.org/",CHAR(35),"/exKotar/146639"),"שיח יצחק - 2 כרכים")</f>
        <v>שיח יצחק - 2 כרכים</v>
      </c>
      <c r="H248" t="str">
        <f>_xlfn.CONCAT("https://tablet.otzar.org/",CHAR(35),"/exKotar/146639")</f>
        <v>https://tablet.otzar.org/#/exKotar/146639</v>
      </c>
    </row>
    <row r="249" spans="1:8" x14ac:dyDescent="0.25">
      <c r="A249">
        <v>688062</v>
      </c>
      <c r="B249" t="s">
        <v>561</v>
      </c>
      <c r="C249" t="s">
        <v>562</v>
      </c>
      <c r="D249" t="s">
        <v>10</v>
      </c>
      <c r="E249" t="s">
        <v>19</v>
      </c>
      <c r="F249" t="s">
        <v>563</v>
      </c>
      <c r="G249" t="str">
        <f>HYPERLINK(_xlfn.CONCAT("https://tablet.otzar.org/",CHAR(35),"/book/688062/p/-1/t/1/fs/0/start/0/end/0/c"),"שיח יצחק - חגיגה")</f>
        <v>שיח יצחק - חגיגה</v>
      </c>
      <c r="H249" t="str">
        <f>_xlfn.CONCAT("https://tablet.otzar.org/",CHAR(35),"/book/688062/p/-1/t/1/fs/0/start/0/end/0/c")</f>
        <v>https://tablet.otzar.org/#/book/688062/p/-1/t/1/fs/0/start/0/end/0/c</v>
      </c>
    </row>
    <row r="250" spans="1:8" x14ac:dyDescent="0.25">
      <c r="A250">
        <v>678566</v>
      </c>
      <c r="B250" t="s">
        <v>564</v>
      </c>
      <c r="C250" t="s">
        <v>562</v>
      </c>
      <c r="D250" t="s">
        <v>10</v>
      </c>
      <c r="E250" t="s">
        <v>103</v>
      </c>
      <c r="F250" t="s">
        <v>34</v>
      </c>
      <c r="G250" t="str">
        <f>HYPERLINK(_xlfn.CONCAT("https://tablet.otzar.org/",CHAR(35),"/book/678566/p/-1/t/1/fs/0/start/0/end/0/c"),"שיח יצחק &lt;מהדורה חדשה&gt; - יומא")</f>
        <v>שיח יצחק &lt;מהדורה חדשה&gt; - יומא</v>
      </c>
      <c r="H250" t="str">
        <f>_xlfn.CONCAT("https://tablet.otzar.org/",CHAR(35),"/book/678566/p/-1/t/1/fs/0/start/0/end/0/c")</f>
        <v>https://tablet.otzar.org/#/book/678566/p/-1/t/1/fs/0/start/0/end/0/c</v>
      </c>
    </row>
    <row r="251" spans="1:8" x14ac:dyDescent="0.25">
      <c r="A251">
        <v>146671</v>
      </c>
      <c r="B251" t="s">
        <v>565</v>
      </c>
      <c r="C251" t="s">
        <v>541</v>
      </c>
      <c r="D251" t="s">
        <v>10</v>
      </c>
      <c r="E251" t="s">
        <v>134</v>
      </c>
      <c r="F251" t="s">
        <v>442</v>
      </c>
      <c r="G251" t="str">
        <f>HYPERLINK(_xlfn.CONCAT("https://tablet.otzar.org/",CHAR(35),"/book/146671/p/-1/t/1/fs/0/start/0/end/0/c"),"שלום ירושלים - ירושלמי זרעים")</f>
        <v>שלום ירושלים - ירושלמי זרעים</v>
      </c>
      <c r="H251" t="str">
        <f>_xlfn.CONCAT("https://tablet.otzar.org/",CHAR(35),"/book/146671/p/-1/t/1/fs/0/start/0/end/0/c")</f>
        <v>https://tablet.otzar.org/#/book/146671/p/-1/t/1/fs/0/start/0/end/0/c</v>
      </c>
    </row>
    <row r="252" spans="1:8" x14ac:dyDescent="0.25">
      <c r="A252">
        <v>169728</v>
      </c>
      <c r="B252" t="s">
        <v>566</v>
      </c>
      <c r="C252" t="s">
        <v>567</v>
      </c>
      <c r="D252" t="s">
        <v>10</v>
      </c>
      <c r="E252" t="s">
        <v>149</v>
      </c>
      <c r="F252" t="s">
        <v>91</v>
      </c>
      <c r="G252" t="str">
        <f>HYPERLINK(_xlfn.CONCAT("https://tablet.otzar.org/",CHAR(35),"/exKotar/169728"),"שלחן מלכים - 2 כרכים")</f>
        <v>שלחן מלכים - 2 כרכים</v>
      </c>
      <c r="H252" t="str">
        <f>_xlfn.CONCAT("https://tablet.otzar.org/",CHAR(35),"/exKotar/169728")</f>
        <v>https://tablet.otzar.org/#/exKotar/169728</v>
      </c>
    </row>
    <row r="253" spans="1:8" x14ac:dyDescent="0.25">
      <c r="A253">
        <v>147510</v>
      </c>
      <c r="B253" t="s">
        <v>568</v>
      </c>
      <c r="C253" t="s">
        <v>376</v>
      </c>
      <c r="D253" t="s">
        <v>10</v>
      </c>
      <c r="E253" t="s">
        <v>65</v>
      </c>
      <c r="F253" t="s">
        <v>91</v>
      </c>
      <c r="G253" t="str">
        <f>HYPERLINK(_xlfn.CONCAT("https://tablet.otzar.org/",CHAR(35),"/book/147510/p/-1/t/1/fs/0/start/0/end/0/c"),"שלחן ערוך על שלחן ערוך אבן העזר - א")</f>
        <v>שלחן ערוך על שלחן ערוך אבן העזר - א</v>
      </c>
      <c r="H253" t="str">
        <f>_xlfn.CONCAT("https://tablet.otzar.org/",CHAR(35),"/book/147510/p/-1/t/1/fs/0/start/0/end/0/c")</f>
        <v>https://tablet.otzar.org/#/book/147510/p/-1/t/1/fs/0/start/0/end/0/c</v>
      </c>
    </row>
    <row r="254" spans="1:8" x14ac:dyDescent="0.25">
      <c r="A254">
        <v>147383</v>
      </c>
      <c r="B254" t="s">
        <v>569</v>
      </c>
      <c r="C254" t="s">
        <v>376</v>
      </c>
      <c r="D254" t="s">
        <v>10</v>
      </c>
      <c r="E254" t="s">
        <v>233</v>
      </c>
      <c r="F254" t="s">
        <v>91</v>
      </c>
      <c r="G254" t="str">
        <f>HYPERLINK(_xlfn.CONCAT("https://tablet.otzar.org/",CHAR(35),"/exKotar/147383"),"שלחן תמיד - 2 כרכים")</f>
        <v>שלחן תמיד - 2 כרכים</v>
      </c>
      <c r="H254" t="str">
        <f>_xlfn.CONCAT("https://tablet.otzar.org/",CHAR(35),"/exKotar/147383")</f>
        <v>https://tablet.otzar.org/#/exKotar/147383</v>
      </c>
    </row>
    <row r="255" spans="1:8" x14ac:dyDescent="0.25">
      <c r="A255">
        <v>164158</v>
      </c>
      <c r="B255" t="s">
        <v>570</v>
      </c>
      <c r="C255" t="s">
        <v>571</v>
      </c>
      <c r="D255" t="s">
        <v>10</v>
      </c>
      <c r="E255" t="s">
        <v>46</v>
      </c>
      <c r="G255" t="str">
        <f>HYPERLINK(_xlfn.CONCAT("https://tablet.otzar.org/",CHAR(35),"/book/164158/p/-1/t/1/fs/0/start/0/end/0/c"),"שלטי הגבורים &lt;מכון ירושלים&gt;")</f>
        <v>שלטי הגבורים &lt;מכון ירושלים&gt;</v>
      </c>
      <c r="H255" t="str">
        <f>_xlfn.CONCAT("https://tablet.otzar.org/",CHAR(35),"/book/164158/p/-1/t/1/fs/0/start/0/end/0/c")</f>
        <v>https://tablet.otzar.org/#/book/164158/p/-1/t/1/fs/0/start/0/end/0/c</v>
      </c>
    </row>
    <row r="256" spans="1:8" x14ac:dyDescent="0.25">
      <c r="A256">
        <v>147438</v>
      </c>
      <c r="B256" t="s">
        <v>572</v>
      </c>
      <c r="C256" t="s">
        <v>265</v>
      </c>
      <c r="D256" t="s">
        <v>10</v>
      </c>
      <c r="E256" t="s">
        <v>65</v>
      </c>
      <c r="F256" t="s">
        <v>573</v>
      </c>
      <c r="G256" t="str">
        <f>HYPERLINK(_xlfn.CONCAT("https://tablet.otzar.org/",CHAR(35),"/book/147438/p/-1/t/1/fs/0/start/0/end/0/c"),"שלל דוד")</f>
        <v>שלל דוד</v>
      </c>
      <c r="H256" t="str">
        <f>_xlfn.CONCAT("https://tablet.otzar.org/",CHAR(35),"/book/147438/p/-1/t/1/fs/0/start/0/end/0/c")</f>
        <v>https://tablet.otzar.org/#/book/147438/p/-1/t/1/fs/0/start/0/end/0/c</v>
      </c>
    </row>
    <row r="257" spans="1:8" x14ac:dyDescent="0.25">
      <c r="A257">
        <v>147030</v>
      </c>
      <c r="B257" t="s">
        <v>574</v>
      </c>
      <c r="C257" t="s">
        <v>575</v>
      </c>
      <c r="D257" t="s">
        <v>10</v>
      </c>
      <c r="E257" t="s">
        <v>202</v>
      </c>
      <c r="F257" t="s">
        <v>78</v>
      </c>
      <c r="G257" t="str">
        <f>HYPERLINK(_xlfn.CONCAT("https://tablet.otzar.org/",CHAR(35),"/book/147030/p/-1/t/1/fs/0/start/0/end/0/c"),"שם משמעון השלם")</f>
        <v>שם משמעון השלם</v>
      </c>
      <c r="H257" t="str">
        <f>_xlfn.CONCAT("https://tablet.otzar.org/",CHAR(35),"/book/147030/p/-1/t/1/fs/0/start/0/end/0/c")</f>
        <v>https://tablet.otzar.org/#/book/147030/p/-1/t/1/fs/0/start/0/end/0/c</v>
      </c>
    </row>
    <row r="258" spans="1:8" x14ac:dyDescent="0.25">
      <c r="A258">
        <v>147766</v>
      </c>
      <c r="B258" t="s">
        <v>576</v>
      </c>
      <c r="C258" t="s">
        <v>306</v>
      </c>
      <c r="D258" t="s">
        <v>10</v>
      </c>
      <c r="E258" t="s">
        <v>290</v>
      </c>
      <c r="F258" t="s">
        <v>100</v>
      </c>
      <c r="G258" t="str">
        <f>HYPERLINK(_xlfn.CONCAT("https://tablet.otzar.org/",CHAR(35),"/book/147766/p/-1/t/1/fs/0/start/0/end/0/c"),"שמחת החג &lt;מכון ירושלים&gt;")</f>
        <v>שמחת החג &lt;מכון ירושלים&gt;</v>
      </c>
      <c r="H258" t="str">
        <f>_xlfn.CONCAT("https://tablet.otzar.org/",CHAR(35),"/book/147766/p/-1/t/1/fs/0/start/0/end/0/c")</f>
        <v>https://tablet.otzar.org/#/book/147766/p/-1/t/1/fs/0/start/0/end/0/c</v>
      </c>
    </row>
    <row r="259" spans="1:8" x14ac:dyDescent="0.25">
      <c r="A259">
        <v>147540</v>
      </c>
      <c r="B259" t="s">
        <v>577</v>
      </c>
      <c r="C259" t="s">
        <v>578</v>
      </c>
      <c r="D259" t="s">
        <v>10</v>
      </c>
      <c r="E259" t="s">
        <v>297</v>
      </c>
      <c r="F259" t="s">
        <v>140</v>
      </c>
      <c r="G259" t="str">
        <f>HYPERLINK(_xlfn.CONCAT("https://tablet.otzar.org/",CHAR(35),"/book/147540/p/-1/t/1/fs/0/start/0/end/0/c"),"שנות חיים")</f>
        <v>שנות חיים</v>
      </c>
      <c r="H259" t="str">
        <f>_xlfn.CONCAT("https://tablet.otzar.org/",CHAR(35),"/book/147540/p/-1/t/1/fs/0/start/0/end/0/c")</f>
        <v>https://tablet.otzar.org/#/book/147540/p/-1/t/1/fs/0/start/0/end/0/c</v>
      </c>
    </row>
    <row r="260" spans="1:8" x14ac:dyDescent="0.25">
      <c r="A260">
        <v>146763</v>
      </c>
      <c r="B260" t="s">
        <v>579</v>
      </c>
      <c r="C260" t="s">
        <v>580</v>
      </c>
      <c r="D260" t="s">
        <v>10</v>
      </c>
      <c r="E260" t="s">
        <v>166</v>
      </c>
      <c r="F260" t="s">
        <v>49</v>
      </c>
      <c r="G260" t="str">
        <f>HYPERLINK(_xlfn.CONCAT("https://tablet.otzar.org/",CHAR(35),"/exKotar/146763"),"שער המלך &lt;מכון ירושלים&gt;  - 2 כרכים")</f>
        <v>שער המלך &lt;מכון ירושלים&gt;  - 2 כרכים</v>
      </c>
      <c r="H260" t="str">
        <f>_xlfn.CONCAT("https://tablet.otzar.org/",CHAR(35),"/exKotar/146763")</f>
        <v>https://tablet.otzar.org/#/exKotar/146763</v>
      </c>
    </row>
    <row r="261" spans="1:8" x14ac:dyDescent="0.25">
      <c r="A261">
        <v>146677</v>
      </c>
      <c r="B261" t="s">
        <v>581</v>
      </c>
      <c r="C261" t="s">
        <v>582</v>
      </c>
      <c r="D261" t="s">
        <v>10</v>
      </c>
      <c r="E261" t="s">
        <v>339</v>
      </c>
      <c r="F261" t="s">
        <v>78</v>
      </c>
      <c r="G261" t="str">
        <f>HYPERLINK(_xlfn.CONCAT("https://tablet.otzar.org/",CHAR(35),"/exKotar/146677"),"שער יהושע - 2 כרכים")</f>
        <v>שער יהושע - 2 כרכים</v>
      </c>
      <c r="H261" t="str">
        <f>_xlfn.CONCAT("https://tablet.otzar.org/",CHAR(35),"/exKotar/146677")</f>
        <v>https://tablet.otzar.org/#/exKotar/146677</v>
      </c>
    </row>
    <row r="262" spans="1:8" x14ac:dyDescent="0.25">
      <c r="A262">
        <v>147486</v>
      </c>
      <c r="B262" t="s">
        <v>583</v>
      </c>
      <c r="C262" t="s">
        <v>584</v>
      </c>
      <c r="D262" t="s">
        <v>10</v>
      </c>
      <c r="E262" t="s">
        <v>287</v>
      </c>
      <c r="F262" t="s">
        <v>49</v>
      </c>
      <c r="G262" t="str">
        <f>HYPERLINK(_xlfn.CONCAT("https://tablet.otzar.org/",CHAR(35),"/book/147486/p/-1/t/1/fs/0/start/0/end/0/c"),"שערי אפרים &lt;מכון ירושלים&gt;")</f>
        <v>שערי אפרים &lt;מכון ירושלים&gt;</v>
      </c>
      <c r="H262" t="str">
        <f>_xlfn.CONCAT("https://tablet.otzar.org/",CHAR(35),"/book/147486/p/-1/t/1/fs/0/start/0/end/0/c")</f>
        <v>https://tablet.otzar.org/#/book/147486/p/-1/t/1/fs/0/start/0/end/0/c</v>
      </c>
    </row>
    <row r="263" spans="1:8" x14ac:dyDescent="0.25">
      <c r="A263">
        <v>147033</v>
      </c>
      <c r="B263" t="s">
        <v>585</v>
      </c>
      <c r="C263" t="s">
        <v>586</v>
      </c>
      <c r="D263" t="s">
        <v>10</v>
      </c>
      <c r="E263" t="s">
        <v>61</v>
      </c>
      <c r="F263" t="s">
        <v>587</v>
      </c>
      <c r="G263" t="str">
        <f>HYPERLINK(_xlfn.CONCAT("https://tablet.otzar.org/",CHAR(35),"/book/147033/p/-1/t/1/fs/0/start/0/end/0/c"),"שערי ישועה")</f>
        <v>שערי ישועה</v>
      </c>
      <c r="H263" t="str">
        <f>_xlfn.CONCAT("https://tablet.otzar.org/",CHAR(35),"/book/147033/p/-1/t/1/fs/0/start/0/end/0/c")</f>
        <v>https://tablet.otzar.org/#/book/147033/p/-1/t/1/fs/0/start/0/end/0/c</v>
      </c>
    </row>
    <row r="264" spans="1:8" x14ac:dyDescent="0.25">
      <c r="A264">
        <v>147442</v>
      </c>
      <c r="B264" t="s">
        <v>588</v>
      </c>
      <c r="C264" t="s">
        <v>368</v>
      </c>
      <c r="D264" t="s">
        <v>10</v>
      </c>
      <c r="E264" t="s">
        <v>90</v>
      </c>
      <c r="F264" t="s">
        <v>34</v>
      </c>
      <c r="G264" t="str">
        <f>HYPERLINK(_xlfn.CONCAT("https://tablet.otzar.org/",CHAR(35),"/exKotar/147442"),"שערי תורה &lt;מכון ירושלים&gt;  - 12 כרכים")</f>
        <v>שערי תורה &lt;מכון ירושלים&gt;  - 12 כרכים</v>
      </c>
      <c r="H264" t="str">
        <f>_xlfn.CONCAT("https://tablet.otzar.org/",CHAR(35),"/exKotar/147442")</f>
        <v>https://tablet.otzar.org/#/exKotar/147442</v>
      </c>
    </row>
    <row r="265" spans="1:8" x14ac:dyDescent="0.25">
      <c r="A265">
        <v>175485</v>
      </c>
      <c r="B265" t="s">
        <v>589</v>
      </c>
      <c r="C265" t="s">
        <v>590</v>
      </c>
      <c r="D265" t="s">
        <v>591</v>
      </c>
      <c r="E265" t="s">
        <v>592</v>
      </c>
      <c r="F265" t="s">
        <v>34</v>
      </c>
      <c r="G265" t="str">
        <f>HYPERLINK(_xlfn.CONCAT("https://tablet.otzar.org/",CHAR(35),"/book/175485/p/-1/t/1/fs/0/start/0/end/0/c"),"תולדות יעקב &lt;מכון ירושלים&gt;")</f>
        <v>תולדות יעקב &lt;מכון ירושלים&gt;</v>
      </c>
      <c r="H265" t="str">
        <f>_xlfn.CONCAT("https://tablet.otzar.org/",CHAR(35),"/book/175485/p/-1/t/1/fs/0/start/0/end/0/c")</f>
        <v>https://tablet.otzar.org/#/book/175485/p/-1/t/1/fs/0/start/0/end/0/c</v>
      </c>
    </row>
    <row r="266" spans="1:8" x14ac:dyDescent="0.25">
      <c r="A266">
        <v>157085</v>
      </c>
      <c r="B266" t="s">
        <v>593</v>
      </c>
      <c r="C266" t="s">
        <v>594</v>
      </c>
      <c r="D266" t="s">
        <v>10</v>
      </c>
      <c r="E266" t="s">
        <v>46</v>
      </c>
      <c r="G266" t="str">
        <f>HYPERLINK(_xlfn.CONCAT("https://tablet.otzar.org/",CHAR(35),"/book/157085/p/-1/t/1/fs/0/start/0/end/0/c"),"תולדות רבינו יצחק אלחנן ספקטור זצ""""ל")</f>
        <v>תולדות רבינו יצחק אלחנן ספקטור זצ""ל</v>
      </c>
      <c r="H266" t="str">
        <f>_xlfn.CONCAT("https://tablet.otzar.org/",CHAR(35),"/book/157085/p/-1/t/1/fs/0/start/0/end/0/c")</f>
        <v>https://tablet.otzar.org/#/book/157085/p/-1/t/1/fs/0/start/0/end/0/c</v>
      </c>
    </row>
    <row r="267" spans="1:8" x14ac:dyDescent="0.25">
      <c r="A267">
        <v>147543</v>
      </c>
      <c r="B267" t="s">
        <v>595</v>
      </c>
      <c r="C267" t="s">
        <v>596</v>
      </c>
      <c r="D267" t="s">
        <v>10</v>
      </c>
      <c r="E267" t="s">
        <v>134</v>
      </c>
      <c r="F267" t="s">
        <v>34</v>
      </c>
      <c r="G267" t="str">
        <f>HYPERLINK(_xlfn.CONCAT("https://tablet.otzar.org/",CHAR(35),"/exKotar/147543"),"תוספות חכמי אנגליה - 3 כרכים")</f>
        <v>תוספות חכמי אנגליה - 3 כרכים</v>
      </c>
      <c r="H267" t="str">
        <f>_xlfn.CONCAT("https://tablet.otzar.org/",CHAR(35),"/exKotar/147543")</f>
        <v>https://tablet.otzar.org/#/exKotar/147543</v>
      </c>
    </row>
    <row r="268" spans="1:8" x14ac:dyDescent="0.25">
      <c r="A268">
        <v>147533</v>
      </c>
      <c r="B268" t="s">
        <v>597</v>
      </c>
      <c r="C268" t="s">
        <v>598</v>
      </c>
      <c r="D268" t="s">
        <v>10</v>
      </c>
      <c r="E268" t="s">
        <v>339</v>
      </c>
      <c r="F268" t="s">
        <v>34</v>
      </c>
      <c r="G268" t="str">
        <f>HYPERLINK(_xlfn.CONCAT("https://tablet.otzar.org/",CHAR(35),"/exKotar/147533"),"תוספות טוך - 2 כרכים")</f>
        <v>תוספות טוך - 2 כרכים</v>
      </c>
      <c r="H268" t="str">
        <f>_xlfn.CONCAT("https://tablet.otzar.org/",CHAR(35),"/exKotar/147533")</f>
        <v>https://tablet.otzar.org/#/exKotar/147533</v>
      </c>
    </row>
    <row r="269" spans="1:8" x14ac:dyDescent="0.25">
      <c r="A269">
        <v>147537</v>
      </c>
      <c r="B269" t="s">
        <v>599</v>
      </c>
      <c r="C269" t="s">
        <v>370</v>
      </c>
      <c r="D269" t="s">
        <v>10</v>
      </c>
      <c r="E269" t="s">
        <v>73</v>
      </c>
      <c r="F269" t="s">
        <v>104</v>
      </c>
      <c r="G269" t="str">
        <f>HYPERLINK(_xlfn.CONCAT("https://tablet.otzar.org/",CHAR(35),"/book/147537/p/-1/t/1/fs/0/start/0/end/0/c"),"תורת גיטין &lt;מכון ירושלים&gt;")</f>
        <v>תורת גיטין &lt;מכון ירושלים&gt;</v>
      </c>
      <c r="H269" t="str">
        <f>_xlfn.CONCAT("https://tablet.otzar.org/",CHAR(35),"/book/147537/p/-1/t/1/fs/0/start/0/end/0/c")</f>
        <v>https://tablet.otzar.org/#/book/147537/p/-1/t/1/fs/0/start/0/end/0/c</v>
      </c>
    </row>
    <row r="270" spans="1:8" x14ac:dyDescent="0.25">
      <c r="A270">
        <v>147368</v>
      </c>
      <c r="B270" t="s">
        <v>600</v>
      </c>
      <c r="C270" t="s">
        <v>601</v>
      </c>
      <c r="D270" t="s">
        <v>10</v>
      </c>
      <c r="E270" t="s">
        <v>297</v>
      </c>
      <c r="F270" t="s">
        <v>100</v>
      </c>
      <c r="G270" t="str">
        <f>HYPERLINK(_xlfn.CONCAT("https://tablet.otzar.org/",CHAR(35),"/book/147368/p/-1/t/1/fs/0/start/0/end/0/c"),"תורת חיים &lt;חידושי הגר""""י וינוגרד&gt; - קדשים")</f>
        <v>תורת חיים &lt;חידושי הגר""י וינוגרד&gt; - קדשים</v>
      </c>
      <c r="H270" t="str">
        <f>_xlfn.CONCAT("https://tablet.otzar.org/",CHAR(35),"/book/147368/p/-1/t/1/fs/0/start/0/end/0/c")</f>
        <v>https://tablet.otzar.org/#/book/147368/p/-1/t/1/fs/0/start/0/end/0/c</v>
      </c>
    </row>
    <row r="271" spans="1:8" x14ac:dyDescent="0.25">
      <c r="A271">
        <v>637121</v>
      </c>
      <c r="B271" t="s">
        <v>602</v>
      </c>
      <c r="C271" t="s">
        <v>603</v>
      </c>
      <c r="D271" t="s">
        <v>10</v>
      </c>
      <c r="E271" t="s">
        <v>172</v>
      </c>
      <c r="F271" t="s">
        <v>78</v>
      </c>
      <c r="G271" t="str">
        <f>HYPERLINK(_xlfn.CONCAT("https://tablet.otzar.org/",CHAR(35),"/exKotar/637121"),"תורת חסד &lt;מכון ירושלים&gt;  - 3 כרכים")</f>
        <v>תורת חסד &lt;מכון ירושלים&gt;  - 3 כרכים</v>
      </c>
      <c r="H271" t="str">
        <f>_xlfn.CONCAT("https://tablet.otzar.org/",CHAR(35),"/exKotar/637121")</f>
        <v>https://tablet.otzar.org/#/exKotar/637121</v>
      </c>
    </row>
    <row r="272" spans="1:8" x14ac:dyDescent="0.25">
      <c r="A272">
        <v>147367</v>
      </c>
      <c r="B272" t="s">
        <v>604</v>
      </c>
      <c r="C272" t="s">
        <v>605</v>
      </c>
      <c r="D272" t="s">
        <v>10</v>
      </c>
      <c r="E272" t="s">
        <v>153</v>
      </c>
      <c r="F272" t="s">
        <v>104</v>
      </c>
      <c r="G272" t="str">
        <f>HYPERLINK(_xlfn.CONCAT("https://tablet.otzar.org/",CHAR(35),"/book/147367/p/-1/t/1/fs/0/start/0/end/0/c"),"תרומת הכרי")</f>
        <v>תרומת הכרי</v>
      </c>
      <c r="H272" t="str">
        <f>_xlfn.CONCAT("https://tablet.otzar.org/",CHAR(35),"/book/147367/p/-1/t/1/fs/0/start/0/end/0/c")</f>
        <v>https://tablet.otzar.org/#/book/147367/p/-1/t/1/fs/0/start/0/end/0/c</v>
      </c>
    </row>
    <row r="273" spans="1:8" x14ac:dyDescent="0.25">
      <c r="A273">
        <v>146635</v>
      </c>
      <c r="B273" t="s">
        <v>606</v>
      </c>
      <c r="C273" t="s">
        <v>607</v>
      </c>
      <c r="D273" t="s">
        <v>10</v>
      </c>
      <c r="E273" t="s">
        <v>545</v>
      </c>
      <c r="F273" t="s">
        <v>608</v>
      </c>
      <c r="G273" t="str">
        <f>HYPERLINK(_xlfn.CONCAT("https://tablet.otzar.org/",CHAR(35),"/book/146635/p/-1/t/1/fs/0/start/0/end/0/c"),"תשובות ופסקי מהרי""""ט החדשים")</f>
        <v>תשובות ופסקי מהרי""ט החדשים</v>
      </c>
      <c r="H273" t="str">
        <f>_xlfn.CONCAT("https://tablet.otzar.org/",CHAR(35),"/book/146635/p/-1/t/1/fs/0/start/0/end/0/c")</f>
        <v>https://tablet.otzar.org/#/book/146635/p/-1/t/1/fs/0/start/0/end/0/c</v>
      </c>
    </row>
    <row r="274" spans="1:8" x14ac:dyDescent="0.25">
      <c r="A274">
        <v>678557</v>
      </c>
      <c r="B274" t="s">
        <v>609</v>
      </c>
      <c r="C274" t="s">
        <v>9</v>
      </c>
      <c r="D274" t="s">
        <v>10</v>
      </c>
      <c r="E274" t="s">
        <v>103</v>
      </c>
      <c r="F274" t="s">
        <v>78</v>
      </c>
      <c r="G274" t="str">
        <f>HYPERLINK(_xlfn.CONCAT("https://tablet.otzar.org/",CHAR(35),"/book/678557/p/-1/t/1/fs/0/start/0/end/0/c"),"תשובות רבינו חיים מוולוז'ין")</f>
        <v>תשובות רבינו חיים מוולוז'ין</v>
      </c>
      <c r="H274" t="str">
        <f>_xlfn.CONCAT("https://tablet.otzar.org/",CHAR(35),"/book/678557/p/-1/t/1/fs/0/start/0/end/0/c")</f>
        <v>https://tablet.otzar.org/#/book/678557/p/-1/t/1/fs/0/start/0/end/0/c</v>
      </c>
    </row>
    <row r="275" spans="1:8" x14ac:dyDescent="0.25">
      <c r="A275">
        <v>164600</v>
      </c>
      <c r="B275" t="s">
        <v>610</v>
      </c>
      <c r="C275" t="s">
        <v>76</v>
      </c>
      <c r="D275" t="s">
        <v>10</v>
      </c>
      <c r="E275" t="s">
        <v>46</v>
      </c>
      <c r="F275" t="s">
        <v>78</v>
      </c>
      <c r="G275" t="str">
        <f>HYPERLINK(_xlfn.CONCAT("https://tablet.otzar.org/",CHAR(35),"/book/164600/p/-1/t/1/fs/0/start/0/end/0/c"),"תשובות רבינו יצחק אלחנן")</f>
        <v>תשובות רבינו יצחק אלחנן</v>
      </c>
      <c r="H275" t="str">
        <f>_xlfn.CONCAT("https://tablet.otzar.org/",CHAR(35),"/book/164600/p/-1/t/1/fs/0/start/0/end/0/c")</f>
        <v>https://tablet.otzar.org/#/book/164600/p/-1/t/1/fs/0/start/0/end/0/c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מכון ירו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2025-03-24T17:14:31Z</dcterms:created>
  <dcterms:modified xsi:type="dcterms:W3CDTF">2025-03-24T17:14:31Z</dcterms:modified>
</cp:coreProperties>
</file>