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\s\Root\booklists\23\"/>
    </mc:Choice>
  </mc:AlternateContent>
  <xr:revisionPtr revIDLastSave="0" documentId="8_{F29BB19F-6540-410C-8CDE-6EC97D2401D0}" xr6:coauthVersionLast="47" xr6:coauthVersionMax="47" xr10:uidLastSave="{00000000-0000-0000-0000-000000000000}"/>
  <bookViews>
    <workbookView xWindow="0" yWindow="1995" windowWidth="26625" windowHeight="12405" xr2:uid="{F29BA93F-DB81-42E5-8ACB-F979FE1B37CE}"/>
  </bookViews>
  <sheets>
    <sheet name="List of books מאגרים - עוז והדר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</calcChain>
</file>

<file path=xl/sharedStrings.xml><?xml version="1.0" encoding="utf-8"?>
<sst xmlns="http://schemas.openxmlformats.org/spreadsheetml/2006/main" count="1112" uniqueCount="381">
  <si>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</si>
  <si>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</si>
  <si>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</si>
  <si>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</si>
  <si>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</si>
  <si>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</si>
  <si>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</si>
  <si>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</si>
  <si>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אבות הראשונים - 2 כרכים</t>
  </si>
  <si>
    <t>בלום, אליעזר חיים בן רפאל</t>
  </si>
  <si>
    <t>תש"פ</t>
  </si>
  <si>
    <t>משנה</t>
  </si>
  <si>
    <t>אוהב ישראל המבואר - 2 כרכים</t>
  </si>
  <si>
    <t>אברהם יהושע השל בן שמואל מאפטה</t>
  </si>
  <si>
    <t>ירושלים</t>
  </si>
  <si>
    <t>תשע"ה</t>
  </si>
  <si>
    <t>חסידות</t>
  </si>
  <si>
    <t>אוהב ישראל המפואר - 2 כרכים</t>
  </si>
  <si>
    <t>תשע"ח</t>
  </si>
  <si>
    <t>חסידות, תנ''ך</t>
  </si>
  <si>
    <t>אוצר הלכה - 2 כרכים</t>
  </si>
  <si>
    <t>מערכת עוז והדר</t>
  </si>
  <si>
    <t>הלכה ומנהג, שלחן ערוך ומפרשיו</t>
  </si>
  <si>
    <t>אוצר המגילה - 5 כרכים</t>
  </si>
  <si>
    <t>תנ''ך</t>
  </si>
  <si>
    <t>אוצר המועדים - 13 כרכים</t>
  </si>
  <si>
    <t>תשע"ו</t>
  </si>
  <si>
    <t>מועדי ישראל</t>
  </si>
  <si>
    <t>אוצר הנישואין</t>
  </si>
  <si>
    <t>הלכה ומנהג, נושאים שונים</t>
  </si>
  <si>
    <t>אוצר השביעית</t>
  </si>
  <si>
    <t>תשע"ד</t>
  </si>
  <si>
    <t>הלכה ומנהג</t>
  </si>
  <si>
    <t>אוצר השובבים</t>
  </si>
  <si>
    <t>הלכה ומנהג, מחשבה ומוסר, תפלות בקשות פיוטים ושירה</t>
  </si>
  <si>
    <t>אוצר השמיטה</t>
  </si>
  <si>
    <t>אוצר מחמדים - 7 כרכים</t>
  </si>
  <si>
    <t>גוטליב, נתן בן יוסף</t>
  </si>
  <si>
    <t>תשע"ז</t>
  </si>
  <si>
    <t>הלכה ומנהג, מועדי ישראל, נושאים שונים</t>
  </si>
  <si>
    <t>אוצר עיונים - 5 כרכים</t>
  </si>
  <si>
    <t>תשפ"א</t>
  </si>
  <si>
    <t>תלמוד בבלי</t>
  </si>
  <si>
    <t>אוצר ראש חודש</t>
  </si>
  <si>
    <t>אור החיים מחולק לימות השנה</t>
  </si>
  <si>
    <t>בן עטר, חיים בן משה</t>
  </si>
  <si>
    <t>אור החיים על התורה &lt;עוז והדר&gt; - 2 כרכים</t>
  </si>
  <si>
    <t>אור חדש &lt;עוז והדר&gt;</t>
  </si>
  <si>
    <t>יהודה ליווא בן בצלאל (מהר"ל מפראג)</t>
  </si>
  <si>
    <t>תשס"ד</t>
  </si>
  <si>
    <t>אור לשמים &lt;עוז והדר&gt;</t>
  </si>
  <si>
    <t>רוטנברג, מאיר בן שמואל הלוי</t>
  </si>
  <si>
    <t>תשפ"ג</t>
  </si>
  <si>
    <t>אחישנה</t>
  </si>
  <si>
    <t>פומרנץ, מנחם מנדל</t>
  </si>
  <si>
    <t>נושאים שונים</t>
  </si>
  <si>
    <t>אקדמות המבואר מתיבתא</t>
  </si>
  <si>
    <t>תפלות בקשות פיוטים ושירה</t>
  </si>
  <si>
    <t>ארחות צדיקים &lt;עוז והדר&gt;</t>
  </si>
  <si>
    <t>ארחות צדיקים</t>
  </si>
  <si>
    <t>מחשבה ומוסר</t>
  </si>
  <si>
    <t>באר מים חיים &lt;עוז והדר&gt; - 2 כרכים</t>
  </si>
  <si>
    <t>חיים בן שלמה מצ'רנוביץ</t>
  </si>
  <si>
    <t>ביאורי התוספות - 20 כרכים</t>
  </si>
  <si>
    <t>בית הלוי &lt;עוז והדר&gt; - 2 כרכים</t>
  </si>
  <si>
    <t>סולובייצ'יק, יוסף דוב בן יצחק זאב הלוי</t>
  </si>
  <si>
    <t>תשנ"ח</t>
  </si>
  <si>
    <t>שאלות ותשובות</t>
  </si>
  <si>
    <t>בני יששכר &lt;השלם והמבואר&gt;  - 6 כרכים</t>
  </si>
  <si>
    <t>שפירא, צבי אלימלך בן פסח מדינוב</t>
  </si>
  <si>
    <t>חסידות, מועדי ישראל</t>
  </si>
  <si>
    <t>בני יששכר המפואר - 2 כרכים</t>
  </si>
  <si>
    <t>בני יששכר עם ביאור משולב - 3 כרכים</t>
  </si>
  <si>
    <t>ברכת המזון מתיבתא</t>
  </si>
  <si>
    <t>בת עין המפואר - 2 כרכים</t>
  </si>
  <si>
    <t>אברהם דוב בן דוד מאבריטש</t>
  </si>
  <si>
    <t>גבורות ה' &lt;עוז והדר&gt;  - 2 כרכים</t>
  </si>
  <si>
    <t>מועדי ישראל, נושאים שונים</t>
  </si>
  <si>
    <t>דברי יחזקאל &lt;עוז והדר&gt; - תורה ומועדים</t>
  </si>
  <si>
    <t>האלברשטאם, יחזקאל שרגא בן חיים</t>
  </si>
  <si>
    <t>תשע"ט</t>
  </si>
  <si>
    <t>דרך החיים &lt;עוז והדר&gt;  - 2 כרכים</t>
  </si>
  <si>
    <t>תשס"ב</t>
  </si>
  <si>
    <t>הגדה של פסח - אור החיים המבואר</t>
  </si>
  <si>
    <t>תשע"ב</t>
  </si>
  <si>
    <t>הגדה של פסח - בני יששכר</t>
  </si>
  <si>
    <t>הגדה של פסח &lt;מעיינות הפשט&gt;</t>
  </si>
  <si>
    <t>פינק, דוב הכהן</t>
  </si>
  <si>
    <t>הגדה של פסח &lt;מעשי הצדיקים&gt;</t>
  </si>
  <si>
    <t>הגדה של פסח &lt;של"ה המבואר&gt;</t>
  </si>
  <si>
    <t>הורוויץ, ישעיה בן אברהם הלוי</t>
  </si>
  <si>
    <t>הגדה של פסח באותיות מאירות עינים</t>
  </si>
  <si>
    <t xml:space="preserve">הגדה של פסח </t>
  </si>
  <si>
    <t>הגדה של פסח מתיבתא - אשכנזים</t>
  </si>
  <si>
    <t>הגדה של פסח ע"פ רמב"ן המבואר</t>
  </si>
  <si>
    <t>משה בן נחמן (רמב"ן)</t>
  </si>
  <si>
    <t>הדלקת נר חנוכה המבואר &lt;מתיבתא&gt;</t>
  </si>
  <si>
    <t>הדרן &lt;מתיבתא&gt;</t>
  </si>
  <si>
    <t>ההוד וההדר - 3 כרכים</t>
  </si>
  <si>
    <t>הליכות המועדים - קיצור הלכות ארבעת המינים</t>
  </si>
  <si>
    <t>תשע"ג</t>
  </si>
  <si>
    <t>הליכות השביעית</t>
  </si>
  <si>
    <t>ויצב אברהם - 3 כרכים</t>
  </si>
  <si>
    <t>בעק, אברהם צבי הלוי</t>
  </si>
  <si>
    <t>מלבורן</t>
  </si>
  <si>
    <t>דרושים, מועדי ישראל</t>
  </si>
  <si>
    <t>זמירות לחג הפסח המבואר &lt;מתיבתא&gt;</t>
  </si>
  <si>
    <t>זמירות לשבת קודש &lt;עוז והדר&gt;</t>
  </si>
  <si>
    <t>זמירות לשבת קודש - מערכת עוז והדר</t>
  </si>
  <si>
    <t>זמירות שבת המבואר - מתיבתא</t>
  </si>
  <si>
    <t>זרע קודש המפואר - 2 כרכים</t>
  </si>
  <si>
    <t>הורוויץ, נפתלי צבי בן מנחם מנדל</t>
  </si>
  <si>
    <t>חומש &lt;מחודדין בפיך&gt; - א (בראשית)</t>
  </si>
  <si>
    <t>חומש &lt;מחודדין בפיך&gt; - ב (שמות)</t>
  </si>
  <si>
    <t>חומש &lt;מחודדין בפיך&gt; - ג ׁ(ויקרא)</t>
  </si>
  <si>
    <t>חומש &lt;מחודדין בפיך&gt; - ד (במדבר)</t>
  </si>
  <si>
    <t>חומש &lt;מחודדין בפיך&gt; - ה (דברים)</t>
  </si>
  <si>
    <t>חומש &lt;תלמידים&gt; - א (בראשית)</t>
  </si>
  <si>
    <t>חומש &lt;תלמידים&gt; - ב (שמות)</t>
  </si>
  <si>
    <t>חומש &lt;תלמידים&gt; - ג (ויקרא)</t>
  </si>
  <si>
    <t>חומש &lt;תלמידים&gt; - ד (במדבר)</t>
  </si>
  <si>
    <t>חומש &lt;תלמידים&gt; - ה (דברים)</t>
  </si>
  <si>
    <t>חומש אור החיים המבואר - 10 כרכים</t>
  </si>
  <si>
    <t>חומש אור החיים עם פירוש משולב - 5 כרכים</t>
  </si>
  <si>
    <t>בן עטר, חיים בן משה - מערכת עוז והדר</t>
  </si>
  <si>
    <t>חומש בית הכנסת - מהד"ח</t>
  </si>
  <si>
    <t>חומש ספורנו המבואר - 5 כרכים</t>
  </si>
  <si>
    <t>ספורנו, עובדיה בן יעקב</t>
  </si>
  <si>
    <t>חומש רמב"ן המבואר - 10 כרכים</t>
  </si>
  <si>
    <t>חומש רמב"ן עם פירוש משולב - 5 כרכים</t>
  </si>
  <si>
    <t>משה בן נחמן (רמב"ן) - מערכת עוז והדר</t>
  </si>
  <si>
    <t>חומש רש"י המבואר - 5 כרכים</t>
  </si>
  <si>
    <t>חומש שפה ברורה - 5 כרכים</t>
  </si>
  <si>
    <t>חידושי הב"ח - 2 כרכים</t>
  </si>
  <si>
    <t>סירקיש, יואל בן שמואל</t>
  </si>
  <si>
    <t>תשס"ז</t>
  </si>
  <si>
    <t>חיים וחסד המפואר</t>
  </si>
  <si>
    <t>חיים חייקא בן שמואל מאמדור</t>
  </si>
  <si>
    <t>חק לישראל &lt;עוז והדר&gt; - 10 כרכים</t>
  </si>
  <si>
    <t>חק לישראל. תש"פ.</t>
  </si>
  <si>
    <t>חק לישראל המבואר - 4 כרכים</t>
  </si>
  <si>
    <t>תנ''ך, תפלות בקשות פיוטים ושירה</t>
  </si>
  <si>
    <t>טבלאות וסיכומים על הש"ס - 3 כרכים</t>
  </si>
  <si>
    <t>יד אבי שלום &lt;מהדורה חדשה&gt;</t>
  </si>
  <si>
    <t>יוסף שלום בן דוד</t>
  </si>
  <si>
    <t>יוצרות המבואר מתיבתא - מנחת יצחק</t>
  </si>
  <si>
    <t>מערכת עוז והדר - מכון מנחת יצחק</t>
  </si>
  <si>
    <t xml:space="preserve">תשע"ו - </t>
  </si>
  <si>
    <t>יוצרות ומוספין המבואר מתיבתא - ד שבתות ושבת הגדול</t>
  </si>
  <si>
    <t>לב טהור</t>
  </si>
  <si>
    <t>רייך, אברהם בד דוד</t>
  </si>
  <si>
    <t>ניו יורק</t>
  </si>
  <si>
    <t>מאמר מרדכי &lt;עוז והדר&gt;  - 4 כרכים</t>
  </si>
  <si>
    <t>כרמי, מרדכי בן אברהם</t>
  </si>
  <si>
    <t>תשנ"ה</t>
  </si>
  <si>
    <t>שלחן ערוך ומפרשיו</t>
  </si>
  <si>
    <t>מגילת אסתר מבוארת - ליקוט ביאורים מאוה"ח הק'</t>
  </si>
  <si>
    <t>מגילת אסתר מבוארת &lt;מתיבתא&gt;</t>
  </si>
  <si>
    <t>מגילת תענית - עוז והדר</t>
  </si>
  <si>
    <t>מגלת שיר השירים עם ביאור משולב</t>
  </si>
  <si>
    <t>חש"ד</t>
  </si>
  <si>
    <t>מדרש רבה המשולב - 14 כרכים</t>
  </si>
  <si>
    <t>מדרש רבה</t>
  </si>
  <si>
    <t>תשפ"ב</t>
  </si>
  <si>
    <t>מוסרי אור החיים המבואר - 2 כרכים</t>
  </si>
  <si>
    <t>מחזור המבואר מתיבתא - 3 כרכים</t>
  </si>
  <si>
    <t>מחזור השלם &lt;אשכנז&gt; - יום כיפור</t>
  </si>
  <si>
    <t>מחזור יום כיפור. אשכנז</t>
  </si>
  <si>
    <t>מחזור השלם &lt;אשכנז&gt; - פסח</t>
  </si>
  <si>
    <t>מחזור פסח. אשכנז</t>
  </si>
  <si>
    <t>מחזור השלם &lt;אשכנז&gt; - ראש השנה</t>
  </si>
  <si>
    <t>מחזור ראש השנה. אשכנז</t>
  </si>
  <si>
    <t>מחזור השלם &lt;אשכנז&gt; - שבועות</t>
  </si>
  <si>
    <t>מחזור שבועות. אשכנז</t>
  </si>
  <si>
    <t>מחזור השלם &lt;אשכנז&gt; - סוכות</t>
  </si>
  <si>
    <t>מחזור סוכות. אשכנז</t>
  </si>
  <si>
    <t>מחזור השלם &lt;ספרד&gt; - ראש השנה</t>
  </si>
  <si>
    <t>מחזור ראש השנה. ספרד</t>
  </si>
  <si>
    <t>מחזור השלם &lt;ספרד&gt; - יום כיפור</t>
  </si>
  <si>
    <t>מחזור יום כיפור. ספרד</t>
  </si>
  <si>
    <t>מחזור השלם &lt;ספרד&gt; - סוכות</t>
  </si>
  <si>
    <t>מחזור סוכות. ספרד</t>
  </si>
  <si>
    <t>מחזור השלם &lt;ספרד&gt; - פסח</t>
  </si>
  <si>
    <t>מחזור פסח. ספרד</t>
  </si>
  <si>
    <t>מחזור השלם &lt;ספרד&gt; - שבועות</t>
  </si>
  <si>
    <t>מחזור שבועות. ספרד</t>
  </si>
  <si>
    <t>מחזור השלם &lt;ספרד&gt; - שמיני עצרת</t>
  </si>
  <si>
    <t>מחזור שמיני עצרת. ספרד</t>
  </si>
  <si>
    <t>מחזור לפורים &lt;עוז והדר&gt;</t>
  </si>
  <si>
    <t>מטה אפרים השלם &lt;עוז והדר&gt;</t>
  </si>
  <si>
    <t>מרגליות, אפרים זלמן בן מנחם מאנוש</t>
  </si>
  <si>
    <t>מנות הלוי &lt;עוז והדר&gt;  - 2 כרכים</t>
  </si>
  <si>
    <t>אלקבץ, שלמה בן משה הלוי</t>
  </si>
  <si>
    <t>מנחם ציון &lt;עוז והדר&gt;</t>
  </si>
  <si>
    <t>מנחם מנדל בן יוסף מרימאנוב</t>
  </si>
  <si>
    <t>נושאים שונים, תנ''ך</t>
  </si>
  <si>
    <t>מסילת ישרים &lt;עוז והדר&gt;</t>
  </si>
  <si>
    <t>לוצאטו, משה חיים בן יעקב חי (רמח"ל)</t>
  </si>
  <si>
    <t>מסכת אבות המבואר מתיבתא - 6 כרכים</t>
  </si>
  <si>
    <t>מסכת אבות עם אוצר מדרשי חז"ל - 6 כרכים</t>
  </si>
  <si>
    <t>מסכת אבות עם פירושי האחרונים</t>
  </si>
  <si>
    <t>מסכת אבות. תשע"ה - לקט אחרונים</t>
  </si>
  <si>
    <t>מסכת שמחות עם ו' פירושים</t>
  </si>
  <si>
    <t>מקרא מפורש - 20 כרכים</t>
  </si>
  <si>
    <t>מקראות גדולות המבואר - 12 כרכים</t>
  </si>
  <si>
    <t>מקראות גדולות עוז והדר</t>
  </si>
  <si>
    <t>מקראות גדולות עוז והדר - 5 כרכים</t>
  </si>
  <si>
    <t>מרחבי רקיע - מדריך אסטרונומי למסכת ר"ה</t>
  </si>
  <si>
    <t>משך חכמה &lt;עוז והדר&gt; - 2 כרכים</t>
  </si>
  <si>
    <t>כהן, מאיר שמחה בן שמשון קלונימוס</t>
  </si>
  <si>
    <t>משנה ברורה &lt;עוז והדר&gt; - 6 כרכים</t>
  </si>
  <si>
    <t>כהן, ישראל מאיר בן אריה זאב</t>
  </si>
  <si>
    <t>משנה ברורה המבואר - 24 כרכים</t>
  </si>
  <si>
    <t>הוצאת עוז והדר</t>
  </si>
  <si>
    <t>משנה ברורה הקצר - הלכות שבת</t>
  </si>
  <si>
    <t>עלבוגיען, שלמה זלמן</t>
  </si>
  <si>
    <t>משנה ברורה מנוקד &lt;עוז והדר&gt;  - 6 כרכים</t>
  </si>
  <si>
    <t>משניות &lt;עוז והדר&gt; - 15 כרכים</t>
  </si>
  <si>
    <t>ששה סדרי משנה</t>
  </si>
  <si>
    <t>משניות לתלמידים - 5 כרכים</t>
  </si>
  <si>
    <t>משניות מבוארות &lt;מתיבתא&gt; - 5 כרכים</t>
  </si>
  <si>
    <t>משנת המועדים - 18 כרכים</t>
  </si>
  <si>
    <t>תשס"ו</t>
  </si>
  <si>
    <t>מתיבתא (א) ברכות - 9 כרכים</t>
  </si>
  <si>
    <t>עוז והדר</t>
  </si>
  <si>
    <t>מתיבתא (ב) שבת - 9 כרכים</t>
  </si>
  <si>
    <t>מתיבתא (ג) עירובין - 9 כרכים</t>
  </si>
  <si>
    <t>מתיבתא (ד) פסחים - 10 כרכים</t>
  </si>
  <si>
    <t>מתיבתא (ה) שקלים - 5 כרכים</t>
  </si>
  <si>
    <t>תלמוד ירושלמי</t>
  </si>
  <si>
    <t>מתיבתא (ו) יומא - 8 כרכים</t>
  </si>
  <si>
    <t>מתיבתא (ז) סוכה - 8 כרכים</t>
  </si>
  <si>
    <t>מתיבתא (ח) ביצה - 9 כרכים</t>
  </si>
  <si>
    <t>מתיבתא (ט) ראש השנה - 9 כרכים</t>
  </si>
  <si>
    <t>מתיבתא (טו) כתובות - 9 כרכים</t>
  </si>
  <si>
    <t>מתיבתא (טז) נדרים - 10 כרכים</t>
  </si>
  <si>
    <t>מתיבתא (י) תענית - 9 כרכים</t>
  </si>
  <si>
    <t>מתיבתא (יא) מגילה - 9 כרכים</t>
  </si>
  <si>
    <t>מתיבתא (יב) מועד קטן - 9 כרכים</t>
  </si>
  <si>
    <t>מתיבתא (יג) חגיגה - 9 כרכים</t>
  </si>
  <si>
    <t>מתיבתא (יד) יבמות - 12 כרכים</t>
  </si>
  <si>
    <t>מתיבתא (יז) נזיר - 9 כרכים</t>
  </si>
  <si>
    <t>מתיבתא (יח) סוטה - 10 כרכים</t>
  </si>
  <si>
    <t>מתיבתא (יט) גיטין - 9 כרכים</t>
  </si>
  <si>
    <t>מתיבתא (כ) קידושין - 9 כרכים</t>
  </si>
  <si>
    <t>מתיבתא (כא) בבא קמא - 9 כרכים</t>
  </si>
  <si>
    <t>מתיבתא (כב) בבא מציעא - 9 כרכים</t>
  </si>
  <si>
    <t>מתיבתא (כג) בבא בתרא - 9 כרכים</t>
  </si>
  <si>
    <t>מתיבתא (כד) סנהדרין - 8 כרכים</t>
  </si>
  <si>
    <t>מתיבתא (כה) מכות - 9 כרכים</t>
  </si>
  <si>
    <t>מתיבתא (כו) שבועות - 9 כרכים</t>
  </si>
  <si>
    <t>מתיבתא (כז) עבודה זרה - 9 כרכים</t>
  </si>
  <si>
    <t>מתיבתא (כח) הוריות - 9 כרכים</t>
  </si>
  <si>
    <t>מתיבתא (כט) עדיות - ביאור המשניות</t>
  </si>
  <si>
    <t>מתיבתא (ל) זבחים - 9 כרכים</t>
  </si>
  <si>
    <t>מתיבתא (לא) מנחות - 9 כרכים</t>
  </si>
  <si>
    <t>מתיבתא (לב) חולין - 9 כרכים</t>
  </si>
  <si>
    <t>מתיבתא (לג) בכורות - 9 כרכים</t>
  </si>
  <si>
    <t>מתיבתא (לד) ערכין - 9 כרכים</t>
  </si>
  <si>
    <t>מתיבתא (לה) תמורה - 9 כרכים</t>
  </si>
  <si>
    <t>מתיבתא (לו) כריתות - 9 כרכים</t>
  </si>
  <si>
    <t>מתיבתא (לז) מעילה - 9 כרכים</t>
  </si>
  <si>
    <t>מתיבתא (לח) קנים - 9 כרכים</t>
  </si>
  <si>
    <t>מתיבתא (לט) תמיד - 8 כרכים</t>
  </si>
  <si>
    <t>מתיבתא (מ) מדות - 7 כרכים</t>
  </si>
  <si>
    <t>מתיבתא (מא) נדה - 9 כרכים</t>
  </si>
  <si>
    <t>נועם אלימלך &lt;עוז והדר&gt;</t>
  </si>
  <si>
    <t>ווייסבלום, אלימלך בן אליעזר ליפמאן</t>
  </si>
  <si>
    <t>נתיבות דעת - 6 כרכים</t>
  </si>
  <si>
    <t>גרוס, שמואל דוד הכהן</t>
  </si>
  <si>
    <t>סדר הושענות המבואר &lt;מתיבתא&gt;</t>
  </si>
  <si>
    <t>סדר סליחות &lt;עוז והדר&gt; - כמנהג פולין</t>
  </si>
  <si>
    <t>סליחות. פולין</t>
  </si>
  <si>
    <t>סדר סליחות &lt;עוז והדר&gt; - כמנהג ליטא</t>
  </si>
  <si>
    <t>סדר סליחות המבואר מתיבתא - 2 כרכים</t>
  </si>
  <si>
    <t>סידור המבואר מתיבתא - 3 כרכים</t>
  </si>
  <si>
    <t>סידור השל"ה - 3 כרכים</t>
  </si>
  <si>
    <t>סידור השל"ה &lt;שער השמים&gt; - לימות החול</t>
  </si>
  <si>
    <t>סידור השלם עוז והדר - ספרד</t>
  </si>
  <si>
    <t>סידור לבית יעקב &lt;עוז והדר&gt; - ספרד</t>
  </si>
  <si>
    <t>סידור עוז והדר - אשכנז</t>
  </si>
  <si>
    <t>סידור עוז והדר &lt;ספרד&gt; - שבועות</t>
  </si>
  <si>
    <t>סידור פסח</t>
  </si>
  <si>
    <t>סידור עוז והדר &lt;ספרד&gt; - 2 כרכים</t>
  </si>
  <si>
    <t>סידור סוכות</t>
  </si>
  <si>
    <t>סידור עוז והדר לחג השבועות</t>
  </si>
  <si>
    <t>סידור עוז והדר לשליח ציבור - ספרד</t>
  </si>
  <si>
    <t>סידור עוז והדר עם ביאורי המילים &lt;אשכנז&gt; - 2 כרכים</t>
  </si>
  <si>
    <t>סידור עוז והדר עם ביאורי המילים &lt;ספרד&gt; - 2 כרכים</t>
  </si>
  <si>
    <t>ספר הישר &lt;עוז והדר&gt; - מנוקד</t>
  </si>
  <si>
    <t>זרחיה היווני. מיוחס לו</t>
  </si>
  <si>
    <t>ספר הפטרות המבואר</t>
  </si>
  <si>
    <t>ספר תהלים &lt;עוז והדר&gt;</t>
  </si>
  <si>
    <t>ספר תהלים</t>
  </si>
  <si>
    <t>ספר תהלים עם ביאורי מילים</t>
  </si>
  <si>
    <t>ספרא דמלכא</t>
  </si>
  <si>
    <t>גנץ, שמואל צבי</t>
  </si>
  <si>
    <t>עבודת ישראל המפואר - 2 כרכים</t>
  </si>
  <si>
    <t>הופשטיין, ישראל בן שבתי</t>
  </si>
  <si>
    <t>דרושים, חסידות, מועדי ישראל, תנ''ך</t>
  </si>
  <si>
    <t>עז והדר - 3 כרכים</t>
  </si>
  <si>
    <t>שמואל בן אלבאז</t>
  </si>
  <si>
    <t>עקידת יצחק עם ביאור מקור חיים - 6 כרכים</t>
  </si>
  <si>
    <t>עראמה, יצחק בן משה</t>
  </si>
  <si>
    <t>ערוך השלחן &lt;עוז והדר&gt;  - 9 כרכים</t>
  </si>
  <si>
    <t>אפשטיין, יחיאל מיכל בן אהרן יצחק הלוי</t>
  </si>
  <si>
    <t>פירוש הרמב"ן על התורה - 2 כרכים</t>
  </si>
  <si>
    <t>פירוש התורה לאברבנאל - 5 כרכים</t>
  </si>
  <si>
    <t>אברבנאל, יצחק בן יהודה</t>
  </si>
  <si>
    <t>פירוש ספורנו המבואר - 2 כרכים</t>
  </si>
  <si>
    <t>פירוש רבינו בחיי המבואר - 5 כרכים</t>
  </si>
  <si>
    <t>בחיי בן אשר אבן חלאוה</t>
  </si>
  <si>
    <t>פירות גנוסר - 2 כרכים</t>
  </si>
  <si>
    <t>די סילווה, חזקיה בן דוד</t>
  </si>
  <si>
    <t>תשנ"ד</t>
  </si>
  <si>
    <t>פנים יפות &lt;עוז והדר&gt; - 6 כרכים</t>
  </si>
  <si>
    <t>הורוויץ, פינחס בן צבי הירש הלוי</t>
  </si>
  <si>
    <t>פרק שירה אור החיים המבואר</t>
  </si>
  <si>
    <t>שאר ספרי חז''ל</t>
  </si>
  <si>
    <t>פרק שירה עם פירוש אור החיים המבואר</t>
  </si>
  <si>
    <t>קדושת לוי המבואר - 3 כרכים</t>
  </si>
  <si>
    <t>קדושת לוי המפואר - 2 כרכים</t>
  </si>
  <si>
    <t>לוי יצחק בן מאיר מברדיטשוב</t>
  </si>
  <si>
    <t>קובץ מפרשים החדש - 7 כרכים</t>
  </si>
  <si>
    <t>קינות לט' באב המבואר &lt;מתיבתא&gt;</t>
  </si>
  <si>
    <t>קינות לתשעה באב המבואר מתיבתא</t>
  </si>
  <si>
    <t>קיצור שלחן ערוך &lt;עוז והדר&gt; - 2 כרכים</t>
  </si>
  <si>
    <t>גאנצפריד, שלמה בן יוסף</t>
  </si>
  <si>
    <t>ראש יוסף המבואר - 4 כרכים</t>
  </si>
  <si>
    <t>תאומים, יוסף בן מאיר</t>
  </si>
  <si>
    <t>שיטה מקובצת &lt;עוז והדר&gt;  - 10 כרכים</t>
  </si>
  <si>
    <t>אשכנזי, בצלאל בן אברהם</t>
  </si>
  <si>
    <t>שינון השלחן - הלכות שבת</t>
  </si>
  <si>
    <t>ראבינאוויטץ, הלל</t>
  </si>
  <si>
    <t>שינון התלמוד על הש"ס - 33 כרכים</t>
  </si>
  <si>
    <t>שלחן ערוך &lt;עוז והדר&gt; - 16 כרכים</t>
  </si>
  <si>
    <t>קארו, יוסף בן אפרים</t>
  </si>
  <si>
    <t>שלחן ערוך המבואר &lt;מתיבתא&gt; - 23 כרכים</t>
  </si>
  <si>
    <t>שלחן ערוך המבואר יו"ד - א</t>
  </si>
  <si>
    <t>תשס"ט</t>
  </si>
  <si>
    <t>שלחן ערוך הרב &lt;עוז והדר&gt;  - 4 כרכים</t>
  </si>
  <si>
    <t>שניאור זלמן בן ברוך מלאדי</t>
  </si>
  <si>
    <t>תשנ"ג</t>
  </si>
  <si>
    <t>שלחן ערוך מתיבתא - 5 כרכים</t>
  </si>
  <si>
    <t>שני לוחות הברית &lt;עוז והדר&gt;  - 5 כרכים</t>
  </si>
  <si>
    <t>הלכה ומנהג, מחשבה ומוסר</t>
  </si>
  <si>
    <t>שני לוחות הברית השלם והמבואר - 7 כרכים</t>
  </si>
  <si>
    <t>מחשבה ומוסר, נושאים שונים</t>
  </si>
  <si>
    <t>שנים מקרא ואחד תרגום - 2 כרכים</t>
  </si>
  <si>
    <t>שערי תשובה &lt;עוז והדר&gt;</t>
  </si>
  <si>
    <t>גירונדי, יונה בן אברהם</t>
  </si>
  <si>
    <t>שערי תשובה המבואר</t>
  </si>
  <si>
    <t>גירונדי, יונה בן אברהם - מערכת עוז והדר</t>
  </si>
  <si>
    <t>שפת אמת &lt;עוז והדר&gt; - 5 כרכים</t>
  </si>
  <si>
    <t>אלטר, יהודה אריה ליב בן אברהם מרדכי</t>
  </si>
  <si>
    <t>תבנית המשכן וכליו ובגדי כהונה</t>
  </si>
  <si>
    <t>תהלה לדוד &lt;מהדורה חדשה&gt;  - 2 כרכים</t>
  </si>
  <si>
    <t>אורטנברג, דוד בן ישראל צבי</t>
  </si>
  <si>
    <t>תהלים המבואר מתיבתא - 2 כרכים</t>
  </si>
  <si>
    <t>תורת החיד"א - 5 כרכים</t>
  </si>
  <si>
    <t>אזולאי, חיים יוסף דוד (חיד"א)</t>
  </si>
  <si>
    <t>תורת השעטנז</t>
  </si>
  <si>
    <t>שטיינברג, דניאל דוד</t>
  </si>
  <si>
    <t>תורת כהנים &lt;מהדורת צוקר&gt;  - 2 כרכים</t>
  </si>
  <si>
    <t>ספרא. תשס"ב</t>
  </si>
  <si>
    <t>תורת כהנים &lt;עוז והדר&gt; עם פירוש חדש - 2 כרכים</t>
  </si>
  <si>
    <t>תורת כהנים</t>
  </si>
  <si>
    <t>תחינות &lt;עוז והדר&gt;</t>
  </si>
  <si>
    <t xml:space="preserve">לקט תחינות מספרי רבותינו </t>
  </si>
  <si>
    <t>תיקון ליל שבועות &lt;עוז והדר&gt;</t>
  </si>
  <si>
    <t>תיקון ליל שבועות</t>
  </si>
  <si>
    <t>תלמוד בבלי &lt;עוז והדר&gt; המורחב  - 41 כרכים</t>
  </si>
  <si>
    <t>תלמוד בבלי &lt;שפה ברורה&gt;  - 43 כרכים</t>
  </si>
  <si>
    <t>תלמוד בבלי מנוקד &lt;עוז והדר&gt;  - 21 כרכים</t>
  </si>
  <si>
    <t>תלמוד ירושלמי &lt;עוז והדר&gt;  - 67 כרכים</t>
  </si>
  <si>
    <t>תפארת שלמה &lt;מהדורה חדשה&gt;  - מועדים</t>
  </si>
  <si>
    <t>רבינוביץ, שלמה בן דוב צבי הכהן</t>
  </si>
  <si>
    <t>תשנ"ב</t>
  </si>
  <si>
    <t>תפארת שלמה המפואר - 4 כרכים</t>
  </si>
  <si>
    <t>תפוחי זהב - 2 כרכים</t>
  </si>
  <si>
    <t>הלוי, ישעיה יעקב בן יהודה ליב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</si>
</sst>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4956D-B6A5-4180-B068-C5A8DC2AD258}">
  <dimension ref="A1:H231"/>
  <sheetViews>
    <sheetView tabSelected="1" workbookViewId="0">
      <selection activeCell="F6" sqref="F6"/>
    </sheetView>
  </sheetViews>
  <sheetFormatPr defaultRowHeight="15" x14ac:dyDescent="0.25"/>
  <cols>
    <col min="1" max="1" width="9.5703125" bestFit="1" customWidth="1"/>
    <col min="2" max="2" width="44" bestFit="1" customWidth="1"/>
    <col min="3" max="3" width="32" bestFit="1" customWidth="1"/>
    <col min="4" max="4" width="12.140625" bestFit="1" customWidth="1"/>
    <col min="5" max="5" width="11.5703125" bestFit="1" customWidth="1"/>
    <col min="6" max="6" width="45.85546875" bestFit="1" customWidth="1"/>
    <col min="7" max="7" width="44" bestFit="1" customWidth="1"/>
    <col min="8" max="8" width="64.2851562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677217</v>
      </c>
      <c r="B2" t="s">
        <v>8</v>
      </c>
      <c r="C2" t="s">
        <v>9</v>
      </c>
      <c r="E2" t="s">
        <v>10</v>
      </c>
      <c r="F2" t="s">
        <v>11</v>
      </c>
      <c r="G2" t="str">
        <f>HYPERLINK(_xlfn.CONCAT("https://tablet.otzar.org/",CHAR(35),"/exKotar/677217"),"אבות הראשונים - 2 כרכים")</f>
        <v>אבות הראשונים - 2 כרכים</v>
      </c>
      <c r="H2" t="str">
        <f>_xlfn.CONCAT("https://tablet.otzar.org/",CHAR(35),"/exKotar/677217")</f>
        <v>https://tablet.otzar.org/#/exKotar/677217</v>
      </c>
    </row>
    <row r="3" spans="1:8" x14ac:dyDescent="0.25">
      <c r="A3">
        <v>602290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tr">
        <f>HYPERLINK(_xlfn.CONCAT("https://tablet.otzar.org/",CHAR(35),"/exKotar/602290"),"אוהב ישראל המבואר - 2 כרכים")</f>
        <v>אוהב ישראל המבואר - 2 כרכים</v>
      </c>
      <c r="H3" t="str">
        <f>_xlfn.CONCAT("https://tablet.otzar.org/",CHAR(35),"/exKotar/602290")</f>
        <v>https://tablet.otzar.org/#/exKotar/602290</v>
      </c>
    </row>
    <row r="4" spans="1:8" x14ac:dyDescent="0.25">
      <c r="A4">
        <v>677421</v>
      </c>
      <c r="B4" t="s">
        <v>17</v>
      </c>
      <c r="C4" t="s">
        <v>13</v>
      </c>
      <c r="D4" t="s">
        <v>14</v>
      </c>
      <c r="E4" t="s">
        <v>18</v>
      </c>
      <c r="F4" t="s">
        <v>19</v>
      </c>
      <c r="G4" t="str">
        <f>HYPERLINK(_xlfn.CONCAT("https://tablet.otzar.org/",CHAR(35),"/exKotar/677421"),"אוהב ישראל המפואר - 2 כרכים")</f>
        <v>אוהב ישראל המפואר - 2 כרכים</v>
      </c>
      <c r="H4" t="str">
        <f>_xlfn.CONCAT("https://tablet.otzar.org/",CHAR(35),"/exKotar/677421")</f>
        <v>https://tablet.otzar.org/#/exKotar/677421</v>
      </c>
    </row>
    <row r="5" spans="1:8" x14ac:dyDescent="0.25">
      <c r="A5">
        <v>602349</v>
      </c>
      <c r="B5" t="s">
        <v>20</v>
      </c>
      <c r="C5" t="s">
        <v>21</v>
      </c>
      <c r="D5" t="s">
        <v>14</v>
      </c>
      <c r="E5" t="s">
        <v>15</v>
      </c>
      <c r="F5" t="s">
        <v>22</v>
      </c>
      <c r="G5" t="str">
        <f>HYPERLINK(_xlfn.CONCAT("https://tablet.otzar.org/",CHAR(35),"/exKotar/602349"),"אוצר הלכה - 2 כרכים")</f>
        <v>אוצר הלכה - 2 כרכים</v>
      </c>
      <c r="H5" t="str">
        <f>_xlfn.CONCAT("https://tablet.otzar.org/",CHAR(35),"/exKotar/602349")</f>
        <v>https://tablet.otzar.org/#/exKotar/602349</v>
      </c>
    </row>
    <row r="6" spans="1:8" x14ac:dyDescent="0.25">
      <c r="A6">
        <v>602296</v>
      </c>
      <c r="B6" t="s">
        <v>23</v>
      </c>
      <c r="C6" t="s">
        <v>21</v>
      </c>
      <c r="D6" t="s">
        <v>14</v>
      </c>
      <c r="F6" t="s">
        <v>24</v>
      </c>
      <c r="G6" t="str">
        <f>HYPERLINK(_xlfn.CONCAT("https://tablet.otzar.org/",CHAR(35),"/exKotar/602296"),"אוצר המגילה - 5 כרכים")</f>
        <v>אוצר המגילה - 5 כרכים</v>
      </c>
      <c r="H6" t="str">
        <f>_xlfn.CONCAT("https://tablet.otzar.org/",CHAR(35),"/exKotar/602296")</f>
        <v>https://tablet.otzar.org/#/exKotar/602296</v>
      </c>
    </row>
    <row r="7" spans="1:8" x14ac:dyDescent="0.25">
      <c r="A7">
        <v>602301</v>
      </c>
      <c r="B7" t="s">
        <v>25</v>
      </c>
      <c r="C7" t="s">
        <v>21</v>
      </c>
      <c r="D7" t="s">
        <v>14</v>
      </c>
      <c r="E7" t="s">
        <v>26</v>
      </c>
      <c r="F7" t="s">
        <v>27</v>
      </c>
      <c r="G7" t="str">
        <f>HYPERLINK(_xlfn.CONCAT("https://tablet.otzar.org/",CHAR(35),"/exKotar/602301"),"אוצר המועדים - 13 כרכים")</f>
        <v>אוצר המועדים - 13 כרכים</v>
      </c>
      <c r="H7" t="str">
        <f>_xlfn.CONCAT("https://tablet.otzar.org/",CHAR(35),"/exKotar/602301")</f>
        <v>https://tablet.otzar.org/#/exKotar/602301</v>
      </c>
    </row>
    <row r="8" spans="1:8" x14ac:dyDescent="0.25">
      <c r="A8">
        <v>602292</v>
      </c>
      <c r="B8" t="s">
        <v>28</v>
      </c>
      <c r="C8" t="s">
        <v>21</v>
      </c>
      <c r="D8" t="s">
        <v>14</v>
      </c>
      <c r="E8" t="s">
        <v>15</v>
      </c>
      <c r="F8" t="s">
        <v>29</v>
      </c>
      <c r="G8" t="str">
        <f>HYPERLINK(_xlfn.CONCAT("https://tablet.otzar.org/",CHAR(35),"/book/602292/p/-1/t/1/fs/0/start/0/end/0/c"),"אוצר הנישואין")</f>
        <v>אוצר הנישואין</v>
      </c>
      <c r="H8" t="str">
        <f>_xlfn.CONCAT("https://tablet.otzar.org/",CHAR(35),"/book/602292/p/-1/t/1/fs/0/start/0/end/0/c")</f>
        <v>https://tablet.otzar.org/#/book/602292/p/-1/t/1/fs/0/start/0/end/0/c</v>
      </c>
    </row>
    <row r="9" spans="1:8" x14ac:dyDescent="0.25">
      <c r="A9">
        <v>602402</v>
      </c>
      <c r="B9" t="s">
        <v>30</v>
      </c>
      <c r="C9" t="s">
        <v>21</v>
      </c>
      <c r="D9" t="s">
        <v>14</v>
      </c>
      <c r="E9" t="s">
        <v>31</v>
      </c>
      <c r="F9" t="s">
        <v>32</v>
      </c>
      <c r="G9" t="str">
        <f>HYPERLINK(_xlfn.CONCAT("https://tablet.otzar.org/",CHAR(35),"/book/602402/p/-1/t/1/fs/0/start/0/end/0/c"),"אוצר השביעית")</f>
        <v>אוצר השביעית</v>
      </c>
      <c r="H9" t="str">
        <f>_xlfn.CONCAT("https://tablet.otzar.org/",CHAR(35),"/book/602402/p/-1/t/1/fs/0/start/0/end/0/c")</f>
        <v>https://tablet.otzar.org/#/book/602402/p/-1/t/1/fs/0/start/0/end/0/c</v>
      </c>
    </row>
    <row r="10" spans="1:8" x14ac:dyDescent="0.25">
      <c r="A10">
        <v>602294</v>
      </c>
      <c r="B10" t="s">
        <v>33</v>
      </c>
      <c r="C10" t="s">
        <v>21</v>
      </c>
      <c r="D10" t="s">
        <v>14</v>
      </c>
      <c r="E10" t="s">
        <v>26</v>
      </c>
      <c r="F10" t="s">
        <v>34</v>
      </c>
      <c r="G10" t="str">
        <f>HYPERLINK(_xlfn.CONCAT("https://tablet.otzar.org/",CHAR(35),"/book/602294/p/-1/t/1/fs/0/start/0/end/0/c"),"אוצר השובבים")</f>
        <v>אוצר השובבים</v>
      </c>
      <c r="H10" t="str">
        <f>_xlfn.CONCAT("https://tablet.otzar.org/",CHAR(35),"/book/602294/p/-1/t/1/fs/0/start/0/end/0/c")</f>
        <v>https://tablet.otzar.org/#/book/602294/p/-1/t/1/fs/0/start/0/end/0/c</v>
      </c>
    </row>
    <row r="11" spans="1:8" x14ac:dyDescent="0.25">
      <c r="A11">
        <v>677442</v>
      </c>
      <c r="B11" t="s">
        <v>35</v>
      </c>
      <c r="C11" t="s">
        <v>21</v>
      </c>
      <c r="D11" t="s">
        <v>14</v>
      </c>
      <c r="E11" t="s">
        <v>15</v>
      </c>
      <c r="F11" t="s">
        <v>32</v>
      </c>
      <c r="G11" t="str">
        <f>HYPERLINK(_xlfn.CONCAT("https://tablet.otzar.org/",CHAR(35),"/book/677442/p/-1/t/1/fs/0/start/0/end/0/c"),"אוצר השמיטה")</f>
        <v>אוצר השמיטה</v>
      </c>
      <c r="H11" t="str">
        <f>_xlfn.CONCAT("https://tablet.otzar.org/",CHAR(35),"/book/677442/p/-1/t/1/fs/0/start/0/end/0/c")</f>
        <v>https://tablet.otzar.org/#/book/677442/p/-1/t/1/fs/0/start/0/end/0/c</v>
      </c>
    </row>
    <row r="12" spans="1:8" x14ac:dyDescent="0.25">
      <c r="A12">
        <v>676944</v>
      </c>
      <c r="B12" t="s">
        <v>36</v>
      </c>
      <c r="C12" t="s">
        <v>37</v>
      </c>
      <c r="D12" t="s">
        <v>14</v>
      </c>
      <c r="E12" t="s">
        <v>38</v>
      </c>
      <c r="F12" t="s">
        <v>39</v>
      </c>
      <c r="G12" t="str">
        <f>HYPERLINK(_xlfn.CONCAT("https://tablet.otzar.org/",CHAR(35),"/exKotar/676944"),"אוצר מחמדים - 7 כרכים")</f>
        <v>אוצר מחמדים - 7 כרכים</v>
      </c>
      <c r="H12" t="str">
        <f>_xlfn.CONCAT("https://tablet.otzar.org/",CHAR(35),"/exKotar/676944")</f>
        <v>https://tablet.otzar.org/#/exKotar/676944</v>
      </c>
    </row>
    <row r="13" spans="1:8" x14ac:dyDescent="0.25">
      <c r="A13">
        <v>677444</v>
      </c>
      <c r="B13" t="s">
        <v>40</v>
      </c>
      <c r="C13" t="s">
        <v>21</v>
      </c>
      <c r="D13" t="s">
        <v>14</v>
      </c>
      <c r="E13" t="s">
        <v>41</v>
      </c>
      <c r="F13" t="s">
        <v>42</v>
      </c>
      <c r="G13" t="str">
        <f>HYPERLINK(_xlfn.CONCAT("https://tablet.otzar.org/",CHAR(35),"/exKotar/677444"),"אוצר עיונים - 5 כרכים")</f>
        <v>אוצר עיונים - 5 כרכים</v>
      </c>
      <c r="H13" t="str">
        <f>_xlfn.CONCAT("https://tablet.otzar.org/",CHAR(35),"/exKotar/677444")</f>
        <v>https://tablet.otzar.org/#/exKotar/677444</v>
      </c>
    </row>
    <row r="14" spans="1:8" x14ac:dyDescent="0.25">
      <c r="A14">
        <v>677425</v>
      </c>
      <c r="B14" t="s">
        <v>43</v>
      </c>
      <c r="C14" t="s">
        <v>21</v>
      </c>
      <c r="D14" t="s">
        <v>14</v>
      </c>
      <c r="E14" t="s">
        <v>18</v>
      </c>
      <c r="F14" t="s">
        <v>27</v>
      </c>
      <c r="G14" t="str">
        <f>HYPERLINK(_xlfn.CONCAT("https://tablet.otzar.org/",CHAR(35),"/book/677425/p/-1/t/1/fs/0/start/0/end/0/c"),"אוצר ראש חודש")</f>
        <v>אוצר ראש חודש</v>
      </c>
      <c r="H14" t="str">
        <f>_xlfn.CONCAT("https://tablet.otzar.org/",CHAR(35),"/book/677425/p/-1/t/1/fs/0/start/0/end/0/c")</f>
        <v>https://tablet.otzar.org/#/book/677425/p/-1/t/1/fs/0/start/0/end/0/c</v>
      </c>
    </row>
    <row r="15" spans="1:8" x14ac:dyDescent="0.25">
      <c r="A15">
        <v>677451</v>
      </c>
      <c r="B15" t="s">
        <v>44</v>
      </c>
      <c r="C15" t="s">
        <v>45</v>
      </c>
      <c r="D15" t="s">
        <v>14</v>
      </c>
      <c r="E15" t="s">
        <v>41</v>
      </c>
      <c r="F15" t="s">
        <v>24</v>
      </c>
      <c r="G15" t="str">
        <f>HYPERLINK(_xlfn.CONCAT("https://tablet.otzar.org/",CHAR(35),"/book/677451/p/-1/t/1/fs/0/start/0/end/0/c"),"אור החיים מחולק לימות השנה")</f>
        <v>אור החיים מחולק לימות השנה</v>
      </c>
      <c r="H15" t="str">
        <f>_xlfn.CONCAT("https://tablet.otzar.org/",CHAR(35),"/book/677451/p/-1/t/1/fs/0/start/0/end/0/c")</f>
        <v>https://tablet.otzar.org/#/book/677451/p/-1/t/1/fs/0/start/0/end/0/c</v>
      </c>
    </row>
    <row r="16" spans="1:8" x14ac:dyDescent="0.25">
      <c r="A16">
        <v>674870</v>
      </c>
      <c r="B16" t="s">
        <v>46</v>
      </c>
      <c r="C16" t="s">
        <v>45</v>
      </c>
      <c r="D16" t="s">
        <v>14</v>
      </c>
      <c r="E16" t="s">
        <v>41</v>
      </c>
      <c r="F16" t="s">
        <v>24</v>
      </c>
      <c r="G16" t="str">
        <f>HYPERLINK(_xlfn.CONCAT("https://tablet.otzar.org/",CHAR(35),"/exKotar/674870"),"אור החיים על התורה &lt;עוז והדר&gt; - 2 כרכים")</f>
        <v>אור החיים על התורה &lt;עוז והדר&gt; - 2 כרכים</v>
      </c>
      <c r="H16" t="str">
        <f>_xlfn.CONCAT("https://tablet.otzar.org/",CHAR(35),"/exKotar/674870")</f>
        <v>https://tablet.otzar.org/#/exKotar/674870</v>
      </c>
    </row>
    <row r="17" spans="1:8" x14ac:dyDescent="0.25">
      <c r="A17">
        <v>677452</v>
      </c>
      <c r="B17" t="s">
        <v>47</v>
      </c>
      <c r="C17" t="s">
        <v>48</v>
      </c>
      <c r="D17" t="s">
        <v>14</v>
      </c>
      <c r="E17" t="s">
        <v>49</v>
      </c>
      <c r="F17" t="s">
        <v>24</v>
      </c>
      <c r="G17" t="str">
        <f>HYPERLINK(_xlfn.CONCAT("https://tablet.otzar.org/",CHAR(35),"/book/677452/p/-1/t/1/fs/0/start/0/end/0/c"),"אור חדש &lt;עוז והדר&gt;")</f>
        <v>אור חדש &lt;עוז והדר&gt;</v>
      </c>
      <c r="H17" t="str">
        <f>_xlfn.CONCAT("https://tablet.otzar.org/",CHAR(35),"/book/677452/p/-1/t/1/fs/0/start/0/end/0/c")</f>
        <v>https://tablet.otzar.org/#/book/677452/p/-1/t/1/fs/0/start/0/end/0/c</v>
      </c>
    </row>
    <row r="18" spans="1:8" x14ac:dyDescent="0.25">
      <c r="A18">
        <v>677455</v>
      </c>
      <c r="B18" t="s">
        <v>50</v>
      </c>
      <c r="C18" t="s">
        <v>51</v>
      </c>
      <c r="D18" t="s">
        <v>14</v>
      </c>
      <c r="E18" t="s">
        <v>52</v>
      </c>
      <c r="F18" t="s">
        <v>24</v>
      </c>
      <c r="G18" t="str">
        <f>HYPERLINK(_xlfn.CONCAT("https://tablet.otzar.org/",CHAR(35),"/book/677455/p/-1/t/1/fs/0/start/0/end/0/c"),"אור לשמים &lt;עוז והדר&gt;")</f>
        <v>אור לשמים &lt;עוז והדר&gt;</v>
      </c>
      <c r="H18" t="str">
        <f>_xlfn.CONCAT("https://tablet.otzar.org/",CHAR(35),"/book/677455/p/-1/t/1/fs/0/start/0/end/0/c")</f>
        <v>https://tablet.otzar.org/#/book/677455/p/-1/t/1/fs/0/start/0/end/0/c</v>
      </c>
    </row>
    <row r="19" spans="1:8" x14ac:dyDescent="0.25">
      <c r="A19">
        <v>602565</v>
      </c>
      <c r="B19" t="s">
        <v>53</v>
      </c>
      <c r="C19" t="s">
        <v>54</v>
      </c>
      <c r="D19" t="s">
        <v>14</v>
      </c>
      <c r="E19" t="s">
        <v>26</v>
      </c>
      <c r="F19" t="s">
        <v>55</v>
      </c>
      <c r="G19" t="str">
        <f>HYPERLINK(_xlfn.CONCAT("https://tablet.otzar.org/",CHAR(35),"/book/602565/p/-1/t/1/fs/0/start/0/end/0/c"),"אחישנה")</f>
        <v>אחישנה</v>
      </c>
      <c r="H19" t="str">
        <f>_xlfn.CONCAT("https://tablet.otzar.org/",CHAR(35),"/book/602565/p/-1/t/1/fs/0/start/0/end/0/c")</f>
        <v>https://tablet.otzar.org/#/book/602565/p/-1/t/1/fs/0/start/0/end/0/c</v>
      </c>
    </row>
    <row r="20" spans="1:8" x14ac:dyDescent="0.25">
      <c r="A20">
        <v>602533</v>
      </c>
      <c r="B20" t="s">
        <v>56</v>
      </c>
      <c r="C20" t="s">
        <v>21</v>
      </c>
      <c r="D20" t="s">
        <v>14</v>
      </c>
      <c r="E20" t="s">
        <v>26</v>
      </c>
      <c r="F20" t="s">
        <v>57</v>
      </c>
      <c r="G20" t="str">
        <f>HYPERLINK(_xlfn.CONCAT("https://tablet.otzar.org/",CHAR(35),"/book/602533/p/-1/t/1/fs/0/start/0/end/0/c"),"אקדמות המבואר מתיבתא")</f>
        <v>אקדמות המבואר מתיבתא</v>
      </c>
      <c r="H20" t="str">
        <f>_xlfn.CONCAT("https://tablet.otzar.org/",CHAR(35),"/book/602533/p/-1/t/1/fs/0/start/0/end/0/c")</f>
        <v>https://tablet.otzar.org/#/book/602533/p/-1/t/1/fs/0/start/0/end/0/c</v>
      </c>
    </row>
    <row r="21" spans="1:8" x14ac:dyDescent="0.25">
      <c r="A21">
        <v>677457</v>
      </c>
      <c r="B21" t="s">
        <v>58</v>
      </c>
      <c r="C21" t="s">
        <v>59</v>
      </c>
      <c r="D21" t="s">
        <v>14</v>
      </c>
      <c r="E21" t="s">
        <v>18</v>
      </c>
      <c r="F21" t="s">
        <v>60</v>
      </c>
      <c r="G21" t="str">
        <f>HYPERLINK(_xlfn.CONCAT("https://tablet.otzar.org/",CHAR(35),"/book/677457/p/-1/t/1/fs/0/start/0/end/0/c"),"ארחות צדיקים &lt;עוז והדר&gt;")</f>
        <v>ארחות צדיקים &lt;עוז והדר&gt;</v>
      </c>
      <c r="H21" t="str">
        <f>_xlfn.CONCAT("https://tablet.otzar.org/",CHAR(35),"/book/677457/p/-1/t/1/fs/0/start/0/end/0/c")</f>
        <v>https://tablet.otzar.org/#/book/677457/p/-1/t/1/fs/0/start/0/end/0/c</v>
      </c>
    </row>
    <row r="22" spans="1:8" x14ac:dyDescent="0.25">
      <c r="A22">
        <v>676951</v>
      </c>
      <c r="B22" t="s">
        <v>61</v>
      </c>
      <c r="C22" t="s">
        <v>62</v>
      </c>
      <c r="D22" t="s">
        <v>14</v>
      </c>
      <c r="E22" t="s">
        <v>52</v>
      </c>
      <c r="F22" t="s">
        <v>24</v>
      </c>
      <c r="G22" t="str">
        <f>HYPERLINK(_xlfn.CONCAT("https://tablet.otzar.org/",CHAR(35),"/exKotar/676951"),"באר מים חיים &lt;עוז והדר&gt; - 2 כרכים")</f>
        <v>באר מים חיים &lt;עוז והדר&gt; - 2 כרכים</v>
      </c>
      <c r="H22" t="str">
        <f>_xlfn.CONCAT("https://tablet.otzar.org/",CHAR(35),"/exKotar/676951")</f>
        <v>https://tablet.otzar.org/#/exKotar/676951</v>
      </c>
    </row>
    <row r="23" spans="1:8" x14ac:dyDescent="0.25">
      <c r="A23">
        <v>677207</v>
      </c>
      <c r="B23" t="s">
        <v>63</v>
      </c>
      <c r="C23" t="s">
        <v>21</v>
      </c>
      <c r="D23" t="s">
        <v>14</v>
      </c>
      <c r="E23" t="s">
        <v>41</v>
      </c>
      <c r="F23" t="s">
        <v>42</v>
      </c>
      <c r="G23" t="str">
        <f>HYPERLINK(_xlfn.CONCAT("https://tablet.otzar.org/",CHAR(35),"/exKotar/677207"),"ביאורי התוספות - 20 כרכים")</f>
        <v>ביאורי התוספות - 20 כרכים</v>
      </c>
      <c r="H23" t="str">
        <f>_xlfn.CONCAT("https://tablet.otzar.org/",CHAR(35),"/exKotar/677207")</f>
        <v>https://tablet.otzar.org/#/exKotar/677207</v>
      </c>
    </row>
    <row r="24" spans="1:8" x14ac:dyDescent="0.25">
      <c r="A24">
        <v>602401</v>
      </c>
      <c r="B24" t="s">
        <v>64</v>
      </c>
      <c r="C24" t="s">
        <v>65</v>
      </c>
      <c r="D24" t="s">
        <v>14</v>
      </c>
      <c r="E24" t="s">
        <v>66</v>
      </c>
      <c r="F24" t="s">
        <v>67</v>
      </c>
      <c r="G24" t="str">
        <f>HYPERLINK(_xlfn.CONCAT("https://tablet.otzar.org/",CHAR(35),"/exKotar/602401"),"בית הלוי &lt;עוז והדר&gt; - 2 כרכים")</f>
        <v>בית הלוי &lt;עוז והדר&gt; - 2 כרכים</v>
      </c>
      <c r="H24" t="str">
        <f>_xlfn.CONCAT("https://tablet.otzar.org/",CHAR(35),"/exKotar/602401")</f>
        <v>https://tablet.otzar.org/#/exKotar/602401</v>
      </c>
    </row>
    <row r="25" spans="1:8" x14ac:dyDescent="0.25">
      <c r="A25">
        <v>602254</v>
      </c>
      <c r="B25" t="s">
        <v>68</v>
      </c>
      <c r="C25" t="s">
        <v>69</v>
      </c>
      <c r="D25" t="s">
        <v>14</v>
      </c>
      <c r="E25" t="s">
        <v>15</v>
      </c>
      <c r="F25" t="s">
        <v>70</v>
      </c>
      <c r="G25" t="str">
        <f>HYPERLINK(_xlfn.CONCAT("https://tablet.otzar.org/",CHAR(35),"/exKotar/602254"),"בני יששכר &lt;השלם והמבואר&gt;  - 6 כרכים")</f>
        <v>בני יששכר &lt;השלם והמבואר&gt;  - 6 כרכים</v>
      </c>
      <c r="H25" t="str">
        <f>_xlfn.CONCAT("https://tablet.otzar.org/",CHAR(35),"/exKotar/602254")</f>
        <v>https://tablet.otzar.org/#/exKotar/602254</v>
      </c>
    </row>
    <row r="26" spans="1:8" x14ac:dyDescent="0.25">
      <c r="A26">
        <v>676953</v>
      </c>
      <c r="B26" t="s">
        <v>71</v>
      </c>
      <c r="C26" t="s">
        <v>69</v>
      </c>
      <c r="D26" t="s">
        <v>14</v>
      </c>
      <c r="E26" t="s">
        <v>38</v>
      </c>
      <c r="F26" t="s">
        <v>70</v>
      </c>
      <c r="G26" t="str">
        <f>HYPERLINK(_xlfn.CONCAT("https://tablet.otzar.org/",CHAR(35),"/exKotar/676953"),"בני יששכר המפואר - 2 כרכים")</f>
        <v>בני יששכר המפואר - 2 כרכים</v>
      </c>
      <c r="H26" t="str">
        <f>_xlfn.CONCAT("https://tablet.otzar.org/",CHAR(35),"/exKotar/676953")</f>
        <v>https://tablet.otzar.org/#/exKotar/676953</v>
      </c>
    </row>
    <row r="27" spans="1:8" x14ac:dyDescent="0.25">
      <c r="A27">
        <v>677481</v>
      </c>
      <c r="B27" t="s">
        <v>72</v>
      </c>
      <c r="C27" t="s">
        <v>69</v>
      </c>
      <c r="D27" t="s">
        <v>14</v>
      </c>
      <c r="E27" t="s">
        <v>10</v>
      </c>
      <c r="F27" t="s">
        <v>70</v>
      </c>
      <c r="G27" t="str">
        <f>HYPERLINK(_xlfn.CONCAT("https://tablet.otzar.org/",CHAR(35),"/exKotar/677481"),"בני יששכר עם ביאור משולב - 3 כרכים")</f>
        <v>בני יששכר עם ביאור משולב - 3 כרכים</v>
      </c>
      <c r="H27" t="str">
        <f>_xlfn.CONCAT("https://tablet.otzar.org/",CHAR(35),"/exKotar/677481")</f>
        <v>https://tablet.otzar.org/#/exKotar/677481</v>
      </c>
    </row>
    <row r="28" spans="1:8" x14ac:dyDescent="0.25">
      <c r="A28">
        <v>677482</v>
      </c>
      <c r="B28" t="s">
        <v>73</v>
      </c>
      <c r="C28" t="s">
        <v>21</v>
      </c>
      <c r="D28" t="s">
        <v>14</v>
      </c>
      <c r="E28" t="s">
        <v>41</v>
      </c>
      <c r="F28" t="s">
        <v>57</v>
      </c>
      <c r="G28" t="str">
        <f>HYPERLINK(_xlfn.CONCAT("https://tablet.otzar.org/",CHAR(35),"/book/677482/p/-1/t/1/fs/0/start/0/end/0/c"),"ברכת המזון מתיבתא")</f>
        <v>ברכת המזון מתיבתא</v>
      </c>
      <c r="H28" t="str">
        <f>_xlfn.CONCAT("https://tablet.otzar.org/",CHAR(35),"/book/677482/p/-1/t/1/fs/0/start/0/end/0/c")</f>
        <v>https://tablet.otzar.org/#/book/677482/p/-1/t/1/fs/0/start/0/end/0/c</v>
      </c>
    </row>
    <row r="29" spans="1:8" x14ac:dyDescent="0.25">
      <c r="A29">
        <v>676933</v>
      </c>
      <c r="B29" t="s">
        <v>74</v>
      </c>
      <c r="C29" t="s">
        <v>75</v>
      </c>
      <c r="D29" t="s">
        <v>14</v>
      </c>
      <c r="E29" t="s">
        <v>18</v>
      </c>
      <c r="F29" t="s">
        <v>24</v>
      </c>
      <c r="G29" t="str">
        <f>HYPERLINK(_xlfn.CONCAT("https://tablet.otzar.org/",CHAR(35),"/exKotar/676933"),"בת עין המפואר - 2 כרכים")</f>
        <v>בת עין המפואר - 2 כרכים</v>
      </c>
      <c r="H29" t="str">
        <f>_xlfn.CONCAT("https://tablet.otzar.org/",CHAR(35),"/exKotar/676933")</f>
        <v>https://tablet.otzar.org/#/exKotar/676933</v>
      </c>
    </row>
    <row r="30" spans="1:8" x14ac:dyDescent="0.25">
      <c r="A30">
        <v>602538</v>
      </c>
      <c r="B30" t="s">
        <v>76</v>
      </c>
      <c r="C30" t="s">
        <v>48</v>
      </c>
      <c r="D30" t="s">
        <v>14</v>
      </c>
      <c r="E30" t="s">
        <v>15</v>
      </c>
      <c r="F30" t="s">
        <v>77</v>
      </c>
      <c r="G30" t="str">
        <f>HYPERLINK(_xlfn.CONCAT("https://tablet.otzar.org/",CHAR(35),"/exKotar/602538"),"גבורות ה' &lt;עוז והדר&gt;  - 2 כרכים")</f>
        <v>גבורות ה' &lt;עוז והדר&gt;  - 2 כרכים</v>
      </c>
      <c r="H30" t="str">
        <f>_xlfn.CONCAT("https://tablet.otzar.org/",CHAR(35),"/exKotar/602538")</f>
        <v>https://tablet.otzar.org/#/exKotar/602538</v>
      </c>
    </row>
    <row r="31" spans="1:8" x14ac:dyDescent="0.25">
      <c r="A31">
        <v>677483</v>
      </c>
      <c r="B31" t="s">
        <v>78</v>
      </c>
      <c r="C31" t="s">
        <v>79</v>
      </c>
      <c r="D31" t="s">
        <v>14</v>
      </c>
      <c r="E31" t="s">
        <v>80</v>
      </c>
      <c r="F31" t="s">
        <v>19</v>
      </c>
      <c r="G31" t="str">
        <f>HYPERLINK(_xlfn.CONCAT("https://tablet.otzar.org/",CHAR(35),"/book/677483/p/-1/t/1/fs/0/start/0/end/0/c"),"דברי יחזקאל &lt;עוז והדר&gt; - תורה ומועדים")</f>
        <v>דברי יחזקאל &lt;עוז והדר&gt; - תורה ומועדים</v>
      </c>
      <c r="H31" t="str">
        <f>_xlfn.CONCAT("https://tablet.otzar.org/",CHAR(35),"/book/677483/p/-1/t/1/fs/0/start/0/end/0/c")</f>
        <v>https://tablet.otzar.org/#/book/677483/p/-1/t/1/fs/0/start/0/end/0/c</v>
      </c>
    </row>
    <row r="32" spans="1:8" x14ac:dyDescent="0.25">
      <c r="A32">
        <v>602540</v>
      </c>
      <c r="B32" t="s">
        <v>81</v>
      </c>
      <c r="C32" t="s">
        <v>48</v>
      </c>
      <c r="D32" t="s">
        <v>14</v>
      </c>
      <c r="E32" t="s">
        <v>82</v>
      </c>
      <c r="F32" t="s">
        <v>11</v>
      </c>
      <c r="G32" t="str">
        <f>HYPERLINK(_xlfn.CONCAT("https://tablet.otzar.org/",CHAR(35),"/exKotar/602540"),"דרך החיים &lt;עוז והדר&gt;  - 2 כרכים")</f>
        <v>דרך החיים &lt;עוז והדר&gt;  - 2 כרכים</v>
      </c>
      <c r="H32" t="str">
        <f>_xlfn.CONCAT("https://tablet.otzar.org/",CHAR(35),"/exKotar/602540")</f>
        <v>https://tablet.otzar.org/#/exKotar/602540</v>
      </c>
    </row>
    <row r="33" spans="1:8" x14ac:dyDescent="0.25">
      <c r="A33">
        <v>677485</v>
      </c>
      <c r="B33" t="s">
        <v>83</v>
      </c>
      <c r="C33" t="s">
        <v>45</v>
      </c>
      <c r="D33" t="s">
        <v>14</v>
      </c>
      <c r="E33" t="s">
        <v>84</v>
      </c>
      <c r="F33" t="s">
        <v>27</v>
      </c>
      <c r="G33" t="str">
        <f>HYPERLINK(_xlfn.CONCAT("https://tablet.otzar.org/",CHAR(35),"/book/677485/p/-1/t/1/fs/0/start/0/end/0/c"),"הגדה של פסח - אור החיים המבואר")</f>
        <v>הגדה של פסח - אור החיים המבואר</v>
      </c>
      <c r="H33" t="str">
        <f>_xlfn.CONCAT("https://tablet.otzar.org/",CHAR(35),"/book/677485/p/-1/t/1/fs/0/start/0/end/0/c")</f>
        <v>https://tablet.otzar.org/#/book/677485/p/-1/t/1/fs/0/start/0/end/0/c</v>
      </c>
    </row>
    <row r="34" spans="1:8" x14ac:dyDescent="0.25">
      <c r="A34">
        <v>677817</v>
      </c>
      <c r="B34" t="s">
        <v>85</v>
      </c>
      <c r="C34" t="s">
        <v>69</v>
      </c>
      <c r="D34" t="s">
        <v>14</v>
      </c>
      <c r="E34" t="s">
        <v>26</v>
      </c>
      <c r="F34" t="s">
        <v>27</v>
      </c>
      <c r="G34" t="str">
        <f>HYPERLINK(_xlfn.CONCAT("https://tablet.otzar.org/",CHAR(35),"/book/677817/p/-1/t/1/fs/0/start/0/end/0/c"),"הגדה של פסח - בני יששכר")</f>
        <v>הגדה של פסח - בני יששכר</v>
      </c>
      <c r="H34" t="str">
        <f>_xlfn.CONCAT("https://tablet.otzar.org/",CHAR(35),"/book/677817/p/-1/t/1/fs/0/start/0/end/0/c")</f>
        <v>https://tablet.otzar.org/#/book/677817/p/-1/t/1/fs/0/start/0/end/0/c</v>
      </c>
    </row>
    <row r="35" spans="1:8" x14ac:dyDescent="0.25">
      <c r="A35">
        <v>677488</v>
      </c>
      <c r="B35" t="s">
        <v>86</v>
      </c>
      <c r="C35" t="s">
        <v>87</v>
      </c>
      <c r="D35" t="s">
        <v>14</v>
      </c>
      <c r="E35" t="s">
        <v>41</v>
      </c>
      <c r="G35" t="str">
        <f>HYPERLINK(_xlfn.CONCAT("https://tablet.otzar.org/",CHAR(35),"/book/677488/p/-1/t/1/fs/0/start/0/end/0/c"),"הגדה של פסח &lt;מעיינות הפשט&gt;")</f>
        <v>הגדה של פסח &lt;מעיינות הפשט&gt;</v>
      </c>
      <c r="H35" t="str">
        <f>_xlfn.CONCAT("https://tablet.otzar.org/",CHAR(35),"/book/677488/p/-1/t/1/fs/0/start/0/end/0/c")</f>
        <v>https://tablet.otzar.org/#/book/677488/p/-1/t/1/fs/0/start/0/end/0/c</v>
      </c>
    </row>
    <row r="36" spans="1:8" x14ac:dyDescent="0.25">
      <c r="A36">
        <v>677489</v>
      </c>
      <c r="B36" t="s">
        <v>88</v>
      </c>
      <c r="C36" t="s">
        <v>21</v>
      </c>
      <c r="D36" t="s">
        <v>14</v>
      </c>
      <c r="E36" t="s">
        <v>41</v>
      </c>
      <c r="G36" t="str">
        <f>HYPERLINK(_xlfn.CONCAT("https://tablet.otzar.org/",CHAR(35),"/book/677489/p/-1/t/1/fs/0/start/0/end/0/c"),"הגדה של פסח &lt;מעשי הצדיקים&gt;")</f>
        <v>הגדה של פסח &lt;מעשי הצדיקים&gt;</v>
      </c>
      <c r="H36" t="str">
        <f>_xlfn.CONCAT("https://tablet.otzar.org/",CHAR(35),"/book/677489/p/-1/t/1/fs/0/start/0/end/0/c")</f>
        <v>https://tablet.otzar.org/#/book/677489/p/-1/t/1/fs/0/start/0/end/0/c</v>
      </c>
    </row>
    <row r="37" spans="1:8" x14ac:dyDescent="0.25">
      <c r="A37">
        <v>677491</v>
      </c>
      <c r="B37" t="s">
        <v>89</v>
      </c>
      <c r="C37" t="s">
        <v>90</v>
      </c>
      <c r="D37" t="s">
        <v>14</v>
      </c>
      <c r="E37" t="s">
        <v>38</v>
      </c>
      <c r="G37" t="str">
        <f>HYPERLINK(_xlfn.CONCAT("https://tablet.otzar.org/",CHAR(35),"/book/677491/p/-1/t/1/fs/0/start/0/end/0/c"),"הגדה של פסח &lt;של""""ה המבואר&gt;")</f>
        <v>הגדה של פסח &lt;של""ה המבואר&gt;</v>
      </c>
      <c r="H37" t="str">
        <f>_xlfn.CONCAT("https://tablet.otzar.org/",CHAR(35),"/book/677491/p/-1/t/1/fs/0/start/0/end/0/c")</f>
        <v>https://tablet.otzar.org/#/book/677491/p/-1/t/1/fs/0/start/0/end/0/c</v>
      </c>
    </row>
    <row r="38" spans="1:8" x14ac:dyDescent="0.25">
      <c r="A38">
        <v>677486</v>
      </c>
      <c r="B38" t="s">
        <v>91</v>
      </c>
      <c r="C38" t="s">
        <v>92</v>
      </c>
      <c r="D38" t="s">
        <v>14</v>
      </c>
      <c r="E38" t="s">
        <v>41</v>
      </c>
      <c r="F38" t="s">
        <v>27</v>
      </c>
      <c r="G38" t="str">
        <f>HYPERLINK(_xlfn.CONCAT("https://tablet.otzar.org/",CHAR(35),"/book/677486/p/-1/t/1/fs/0/start/0/end/0/c"),"הגדה של פסח באותיות מאירות עינים")</f>
        <v>הגדה של פסח באותיות מאירות עינים</v>
      </c>
      <c r="H38" t="str">
        <f>_xlfn.CONCAT("https://tablet.otzar.org/",CHAR(35),"/book/677486/p/-1/t/1/fs/0/start/0/end/0/c")</f>
        <v>https://tablet.otzar.org/#/book/677486/p/-1/t/1/fs/0/start/0/end/0/c</v>
      </c>
    </row>
    <row r="39" spans="1:8" x14ac:dyDescent="0.25">
      <c r="A39">
        <v>602288</v>
      </c>
      <c r="B39" t="s">
        <v>93</v>
      </c>
      <c r="C39" t="s">
        <v>21</v>
      </c>
      <c r="D39" t="s">
        <v>14</v>
      </c>
      <c r="E39" t="s">
        <v>31</v>
      </c>
      <c r="F39" t="s">
        <v>27</v>
      </c>
      <c r="G39" t="str">
        <f>HYPERLINK(_xlfn.CONCAT("https://tablet.otzar.org/",CHAR(35),"/book/602288/p/-1/t/1/fs/0/start/0/end/0/c"),"הגדה של פסח מתיבתא - אשכנזים")</f>
        <v>הגדה של פסח מתיבתא - אשכנזים</v>
      </c>
      <c r="H39" t="str">
        <f>_xlfn.CONCAT("https://tablet.otzar.org/",CHAR(35),"/book/602288/p/-1/t/1/fs/0/start/0/end/0/c")</f>
        <v>https://tablet.otzar.org/#/book/602288/p/-1/t/1/fs/0/start/0/end/0/c</v>
      </c>
    </row>
    <row r="40" spans="1:8" x14ac:dyDescent="0.25">
      <c r="A40">
        <v>677490</v>
      </c>
      <c r="B40" t="s">
        <v>94</v>
      </c>
      <c r="C40" t="s">
        <v>95</v>
      </c>
      <c r="D40" t="s">
        <v>14</v>
      </c>
      <c r="E40" t="s">
        <v>18</v>
      </c>
      <c r="G40" t="str">
        <f>HYPERLINK(_xlfn.CONCAT("https://tablet.otzar.org/",CHAR(35),"/book/677490/p/-1/t/1/fs/0/start/0/end/0/c"),"הגדה של פסח ע""""פ רמב""""ן המבואר")</f>
        <v>הגדה של פסח ע""פ רמב""ן המבואר</v>
      </c>
      <c r="H40" t="str">
        <f>_xlfn.CONCAT("https://tablet.otzar.org/",CHAR(35),"/book/677490/p/-1/t/1/fs/0/start/0/end/0/c")</f>
        <v>https://tablet.otzar.org/#/book/677490/p/-1/t/1/fs/0/start/0/end/0/c</v>
      </c>
    </row>
    <row r="41" spans="1:8" x14ac:dyDescent="0.25">
      <c r="A41">
        <v>677498</v>
      </c>
      <c r="B41" t="s">
        <v>96</v>
      </c>
      <c r="C41" t="s">
        <v>21</v>
      </c>
      <c r="D41" t="s">
        <v>14</v>
      </c>
      <c r="E41" t="s">
        <v>41</v>
      </c>
      <c r="F41" t="s">
        <v>70</v>
      </c>
      <c r="G41" t="str">
        <f>HYPERLINK(_xlfn.CONCAT("https://tablet.otzar.org/",CHAR(35),"/book/677498/p/-1/t/1/fs/0/start/0/end/0/c"),"הדלקת נר חנוכה המבואר &lt;מתיבתא&gt;")</f>
        <v>הדלקת נר חנוכה המבואר &lt;מתיבתא&gt;</v>
      </c>
      <c r="H41" t="str">
        <f>_xlfn.CONCAT("https://tablet.otzar.org/",CHAR(35),"/book/677498/p/-1/t/1/fs/0/start/0/end/0/c")</f>
        <v>https://tablet.otzar.org/#/book/677498/p/-1/t/1/fs/0/start/0/end/0/c</v>
      </c>
    </row>
    <row r="42" spans="1:8" x14ac:dyDescent="0.25">
      <c r="A42">
        <v>677492</v>
      </c>
      <c r="B42" t="s">
        <v>97</v>
      </c>
      <c r="C42" t="s">
        <v>21</v>
      </c>
      <c r="D42" t="s">
        <v>14</v>
      </c>
      <c r="E42" t="s">
        <v>10</v>
      </c>
      <c r="F42" t="s">
        <v>42</v>
      </c>
      <c r="G42" t="str">
        <f>HYPERLINK(_xlfn.CONCAT("https://tablet.otzar.org/",CHAR(35),"/book/677492/p/-1/t/1/fs/0/start/0/end/0/c"),"הדרן &lt;מתיבתא&gt;")</f>
        <v>הדרן &lt;מתיבתא&gt;</v>
      </c>
      <c r="H42" t="str">
        <f>_xlfn.CONCAT("https://tablet.otzar.org/",CHAR(35),"/book/677492/p/-1/t/1/fs/0/start/0/end/0/c")</f>
        <v>https://tablet.otzar.org/#/book/677492/p/-1/t/1/fs/0/start/0/end/0/c</v>
      </c>
    </row>
    <row r="43" spans="1:8" x14ac:dyDescent="0.25">
      <c r="A43">
        <v>677495</v>
      </c>
      <c r="B43" t="s">
        <v>98</v>
      </c>
      <c r="C43" t="s">
        <v>21</v>
      </c>
      <c r="D43" t="s">
        <v>14</v>
      </c>
      <c r="E43" t="s">
        <v>18</v>
      </c>
      <c r="F43" t="s">
        <v>42</v>
      </c>
      <c r="G43" t="str">
        <f>HYPERLINK(_xlfn.CONCAT("https://tablet.otzar.org/",CHAR(35),"/exKotar/677495"),"ההוד וההדר - 3 כרכים")</f>
        <v>ההוד וההדר - 3 כרכים</v>
      </c>
      <c r="H43" t="str">
        <f>_xlfn.CONCAT("https://tablet.otzar.org/",CHAR(35),"/exKotar/677495")</f>
        <v>https://tablet.otzar.org/#/exKotar/677495</v>
      </c>
    </row>
    <row r="44" spans="1:8" x14ac:dyDescent="0.25">
      <c r="A44">
        <v>674883</v>
      </c>
      <c r="B44" t="s">
        <v>99</v>
      </c>
      <c r="C44" t="s">
        <v>54</v>
      </c>
      <c r="D44" t="s">
        <v>14</v>
      </c>
      <c r="E44" t="s">
        <v>100</v>
      </c>
      <c r="F44" t="s">
        <v>27</v>
      </c>
      <c r="G44" t="str">
        <f>HYPERLINK(_xlfn.CONCAT("https://tablet.otzar.org/",CHAR(35),"/book/674883/p/-1/t/1/fs/0/start/0/end/0/c"),"הליכות המועדים - קיצור הלכות ארבעת המינים")</f>
        <v>הליכות המועדים - קיצור הלכות ארבעת המינים</v>
      </c>
      <c r="H44" t="str">
        <f>_xlfn.CONCAT("https://tablet.otzar.org/",CHAR(35),"/book/674883/p/-1/t/1/fs/0/start/0/end/0/c")</f>
        <v>https://tablet.otzar.org/#/book/674883/p/-1/t/1/fs/0/start/0/end/0/c</v>
      </c>
    </row>
    <row r="45" spans="1:8" x14ac:dyDescent="0.25">
      <c r="A45">
        <v>602348</v>
      </c>
      <c r="B45" t="s">
        <v>101</v>
      </c>
      <c r="C45" t="s">
        <v>54</v>
      </c>
      <c r="D45" t="s">
        <v>14</v>
      </c>
      <c r="E45" t="s">
        <v>15</v>
      </c>
      <c r="F45" t="s">
        <v>32</v>
      </c>
      <c r="G45" t="str">
        <f>HYPERLINK(_xlfn.CONCAT("https://tablet.otzar.org/",CHAR(35),"/book/602348/p/-1/t/1/fs/0/start/0/end/0/c"),"הליכות השביעית")</f>
        <v>הליכות השביעית</v>
      </c>
      <c r="H45" t="str">
        <f>_xlfn.CONCAT("https://tablet.otzar.org/",CHAR(35),"/book/602348/p/-1/t/1/fs/0/start/0/end/0/c")</f>
        <v>https://tablet.otzar.org/#/book/602348/p/-1/t/1/fs/0/start/0/end/0/c</v>
      </c>
    </row>
    <row r="46" spans="1:8" x14ac:dyDescent="0.25">
      <c r="A46">
        <v>676960</v>
      </c>
      <c r="B46" t="s">
        <v>102</v>
      </c>
      <c r="C46" t="s">
        <v>103</v>
      </c>
      <c r="D46" t="s">
        <v>104</v>
      </c>
      <c r="E46" t="s">
        <v>18</v>
      </c>
      <c r="F46" t="s">
        <v>105</v>
      </c>
      <c r="G46" t="str">
        <f>HYPERLINK(_xlfn.CONCAT("https://tablet.otzar.org/",CHAR(35),"/exKotar/676960"),"ויצב אברהם - 3 כרכים")</f>
        <v>ויצב אברהם - 3 כרכים</v>
      </c>
      <c r="H46" t="str">
        <f>_xlfn.CONCAT("https://tablet.otzar.org/",CHAR(35),"/exKotar/676960")</f>
        <v>https://tablet.otzar.org/#/exKotar/676960</v>
      </c>
    </row>
    <row r="47" spans="1:8" x14ac:dyDescent="0.25">
      <c r="A47">
        <v>677499</v>
      </c>
      <c r="B47" t="s">
        <v>106</v>
      </c>
      <c r="C47" t="s">
        <v>21</v>
      </c>
      <c r="D47" t="s">
        <v>14</v>
      </c>
      <c r="E47" t="s">
        <v>26</v>
      </c>
      <c r="F47" t="s">
        <v>57</v>
      </c>
      <c r="G47" t="str">
        <f>HYPERLINK(_xlfn.CONCAT("https://tablet.otzar.org/",CHAR(35),"/book/677499/p/-1/t/1/fs/0/start/0/end/0/c"),"זמירות לחג הפסח המבואר &lt;מתיבתא&gt;")</f>
        <v>זמירות לחג הפסח המבואר &lt;מתיבתא&gt;</v>
      </c>
      <c r="H47" t="str">
        <f>_xlfn.CONCAT("https://tablet.otzar.org/",CHAR(35),"/book/677499/p/-1/t/1/fs/0/start/0/end/0/c")</f>
        <v>https://tablet.otzar.org/#/book/677499/p/-1/t/1/fs/0/start/0/end/0/c</v>
      </c>
    </row>
    <row r="48" spans="1:8" x14ac:dyDescent="0.25">
      <c r="A48">
        <v>677501</v>
      </c>
      <c r="B48" t="s">
        <v>107</v>
      </c>
      <c r="C48" t="s">
        <v>108</v>
      </c>
      <c r="F48" t="s">
        <v>57</v>
      </c>
      <c r="G48" t="str">
        <f>HYPERLINK(_xlfn.CONCAT("https://tablet.otzar.org/",CHAR(35),"/book/677501/p/-1/t/1/fs/0/start/0/end/0/c"),"זמירות לשבת קודש &lt;עוז והדר&gt;")</f>
        <v>זמירות לשבת קודש &lt;עוז והדר&gt;</v>
      </c>
      <c r="H48" t="str">
        <f>_xlfn.CONCAT("https://tablet.otzar.org/",CHAR(35),"/book/677501/p/-1/t/1/fs/0/start/0/end/0/c")</f>
        <v>https://tablet.otzar.org/#/book/677501/p/-1/t/1/fs/0/start/0/end/0/c</v>
      </c>
    </row>
    <row r="49" spans="1:8" x14ac:dyDescent="0.25">
      <c r="A49">
        <v>602357</v>
      </c>
      <c r="B49" t="s">
        <v>109</v>
      </c>
      <c r="C49" t="s">
        <v>21</v>
      </c>
      <c r="D49" t="s">
        <v>14</v>
      </c>
      <c r="E49" t="s">
        <v>100</v>
      </c>
      <c r="F49" t="s">
        <v>57</v>
      </c>
      <c r="G49" t="str">
        <f>HYPERLINK(_xlfn.CONCAT("https://tablet.otzar.org/",CHAR(35),"/book/602357/p/-1/t/1/fs/0/start/0/end/0/c"),"זמירות שבת המבואר - מתיבתא")</f>
        <v>זמירות שבת המבואר - מתיבתא</v>
      </c>
      <c r="H49" t="str">
        <f>_xlfn.CONCAT("https://tablet.otzar.org/",CHAR(35),"/book/602357/p/-1/t/1/fs/0/start/0/end/0/c")</f>
        <v>https://tablet.otzar.org/#/book/602357/p/-1/t/1/fs/0/start/0/end/0/c</v>
      </c>
    </row>
    <row r="50" spans="1:8" x14ac:dyDescent="0.25">
      <c r="A50">
        <v>679224</v>
      </c>
      <c r="B50" t="s">
        <v>110</v>
      </c>
      <c r="C50" t="s">
        <v>111</v>
      </c>
      <c r="D50" t="s">
        <v>14</v>
      </c>
      <c r="E50" t="s">
        <v>18</v>
      </c>
      <c r="F50" t="s">
        <v>24</v>
      </c>
      <c r="G50" t="str">
        <f>HYPERLINK(_xlfn.CONCAT("https://tablet.otzar.org/",CHAR(35),"/exKotar/679224"),"זרע קודש המפואר - 2 כרכים")</f>
        <v>זרע קודש המפואר - 2 כרכים</v>
      </c>
      <c r="H50" t="str">
        <f>_xlfn.CONCAT("https://tablet.otzar.org/",CHAR(35),"/exKotar/679224")</f>
        <v>https://tablet.otzar.org/#/exKotar/679224</v>
      </c>
    </row>
    <row r="51" spans="1:8" x14ac:dyDescent="0.25">
      <c r="A51">
        <v>676961</v>
      </c>
      <c r="B51" t="s">
        <v>112</v>
      </c>
      <c r="D51" t="s">
        <v>14</v>
      </c>
      <c r="E51" t="s">
        <v>41</v>
      </c>
      <c r="F51" t="s">
        <v>24</v>
      </c>
      <c r="G51" t="str">
        <f>HYPERLINK(_xlfn.CONCAT("https://tablet.otzar.org/",CHAR(35),"/book/676961/p/-1/t/1/fs/0/start/0/end/0/c"),"חומש &lt;מחודדין בפיך&gt; - א (בראשית)")</f>
        <v>חומש &lt;מחודדין בפיך&gt; - א (בראשית)</v>
      </c>
      <c r="H51" t="str">
        <f>_xlfn.CONCAT("https://tablet.otzar.org/",CHAR(35),"/book/676961/p/-1/t/1/fs/0/start/0/end/0/c")</f>
        <v>https://tablet.otzar.org/#/book/676961/p/-1/t/1/fs/0/start/0/end/0/c</v>
      </c>
    </row>
    <row r="52" spans="1:8" x14ac:dyDescent="0.25">
      <c r="A52">
        <v>676962</v>
      </c>
      <c r="B52" t="s">
        <v>113</v>
      </c>
      <c r="D52" t="s">
        <v>14</v>
      </c>
      <c r="E52" t="s">
        <v>41</v>
      </c>
      <c r="F52" t="s">
        <v>24</v>
      </c>
      <c r="G52" t="str">
        <f>HYPERLINK(_xlfn.CONCAT("https://tablet.otzar.org/",CHAR(35),"/book/676962/p/-1/t/1/fs/0/start/0/end/0/c"),"חומש &lt;מחודדין בפיך&gt; - ב (שמות)")</f>
        <v>חומש &lt;מחודדין בפיך&gt; - ב (שמות)</v>
      </c>
      <c r="H52" t="str">
        <f>_xlfn.CONCAT("https://tablet.otzar.org/",CHAR(35),"/book/676962/p/-1/t/1/fs/0/start/0/end/0/c")</f>
        <v>https://tablet.otzar.org/#/book/676962/p/-1/t/1/fs/0/start/0/end/0/c</v>
      </c>
    </row>
    <row r="53" spans="1:8" x14ac:dyDescent="0.25">
      <c r="A53">
        <v>676963</v>
      </c>
      <c r="B53" t="s">
        <v>114</v>
      </c>
      <c r="D53" t="s">
        <v>14</v>
      </c>
      <c r="E53" t="s">
        <v>41</v>
      </c>
      <c r="F53" t="s">
        <v>24</v>
      </c>
      <c r="G53" t="str">
        <f>HYPERLINK(_xlfn.CONCAT("https://tablet.otzar.org/",CHAR(35),"/book/676963/p/-1/t/1/fs/0/start/0/end/0/c"),"חומש &lt;מחודדין בפיך&gt; - ג ׁ(ויקרא)")</f>
        <v>חומש &lt;מחודדין בפיך&gt; - ג ׁ(ויקרא)</v>
      </c>
      <c r="H53" t="str">
        <f>_xlfn.CONCAT("https://tablet.otzar.org/",CHAR(35),"/book/676963/p/-1/t/1/fs/0/start/0/end/0/c")</f>
        <v>https://tablet.otzar.org/#/book/676963/p/-1/t/1/fs/0/start/0/end/0/c</v>
      </c>
    </row>
    <row r="54" spans="1:8" x14ac:dyDescent="0.25">
      <c r="A54">
        <v>676964</v>
      </c>
      <c r="B54" t="s">
        <v>115</v>
      </c>
      <c r="D54" t="s">
        <v>14</v>
      </c>
      <c r="E54" t="s">
        <v>41</v>
      </c>
      <c r="F54" t="s">
        <v>24</v>
      </c>
      <c r="G54" t="str">
        <f>HYPERLINK(_xlfn.CONCAT("https://tablet.otzar.org/",CHAR(35),"/book/676964/p/-1/t/1/fs/0/start/0/end/0/c"),"חומש &lt;מחודדין בפיך&gt; - ד (במדבר)")</f>
        <v>חומש &lt;מחודדין בפיך&gt; - ד (במדבר)</v>
      </c>
      <c r="H54" t="str">
        <f>_xlfn.CONCAT("https://tablet.otzar.org/",CHAR(35),"/book/676964/p/-1/t/1/fs/0/start/0/end/0/c")</f>
        <v>https://tablet.otzar.org/#/book/676964/p/-1/t/1/fs/0/start/0/end/0/c</v>
      </c>
    </row>
    <row r="55" spans="1:8" x14ac:dyDescent="0.25">
      <c r="A55">
        <v>676965</v>
      </c>
      <c r="B55" t="s">
        <v>116</v>
      </c>
      <c r="D55" t="s">
        <v>14</v>
      </c>
      <c r="E55" t="s">
        <v>41</v>
      </c>
      <c r="F55" t="s">
        <v>24</v>
      </c>
      <c r="G55" t="str">
        <f>HYPERLINK(_xlfn.CONCAT("https://tablet.otzar.org/",CHAR(35),"/book/676965/p/-1/t/1/fs/0/start/0/end/0/c"),"חומש &lt;מחודדין בפיך&gt; - ה (דברים)")</f>
        <v>חומש &lt;מחודדין בפיך&gt; - ה (דברים)</v>
      </c>
      <c r="H55" t="str">
        <f>_xlfn.CONCAT("https://tablet.otzar.org/",CHAR(35),"/book/676965/p/-1/t/1/fs/0/start/0/end/0/c")</f>
        <v>https://tablet.otzar.org/#/book/676965/p/-1/t/1/fs/0/start/0/end/0/c</v>
      </c>
    </row>
    <row r="56" spans="1:8" x14ac:dyDescent="0.25">
      <c r="A56">
        <v>676966</v>
      </c>
      <c r="B56" t="s">
        <v>117</v>
      </c>
      <c r="D56" t="s">
        <v>14</v>
      </c>
      <c r="E56" t="s">
        <v>41</v>
      </c>
      <c r="F56" t="s">
        <v>24</v>
      </c>
      <c r="G56" t="str">
        <f>HYPERLINK(_xlfn.CONCAT("https://tablet.otzar.org/",CHAR(35),"/book/676966/p/-1/t/1/fs/0/start/0/end/0/c"),"חומש &lt;תלמידים&gt; - א (בראשית)")</f>
        <v>חומש &lt;תלמידים&gt; - א (בראשית)</v>
      </c>
      <c r="H56" t="str">
        <f>_xlfn.CONCAT("https://tablet.otzar.org/",CHAR(35),"/book/676966/p/-1/t/1/fs/0/start/0/end/0/c")</f>
        <v>https://tablet.otzar.org/#/book/676966/p/-1/t/1/fs/0/start/0/end/0/c</v>
      </c>
    </row>
    <row r="57" spans="1:8" x14ac:dyDescent="0.25">
      <c r="A57">
        <v>676967</v>
      </c>
      <c r="B57" t="s">
        <v>118</v>
      </c>
      <c r="D57" t="s">
        <v>14</v>
      </c>
      <c r="E57" t="s">
        <v>41</v>
      </c>
      <c r="F57" t="s">
        <v>24</v>
      </c>
      <c r="G57" t="str">
        <f>HYPERLINK(_xlfn.CONCAT("https://tablet.otzar.org/",CHAR(35),"/book/676967/p/-1/t/1/fs/0/start/0/end/0/c"),"חומש &lt;תלמידים&gt; - ב (שמות)")</f>
        <v>חומש &lt;תלמידים&gt; - ב (שמות)</v>
      </c>
      <c r="H57" t="str">
        <f>_xlfn.CONCAT("https://tablet.otzar.org/",CHAR(35),"/book/676967/p/-1/t/1/fs/0/start/0/end/0/c")</f>
        <v>https://tablet.otzar.org/#/book/676967/p/-1/t/1/fs/0/start/0/end/0/c</v>
      </c>
    </row>
    <row r="58" spans="1:8" x14ac:dyDescent="0.25">
      <c r="A58">
        <v>676968</v>
      </c>
      <c r="B58" t="s">
        <v>119</v>
      </c>
      <c r="D58" t="s">
        <v>14</v>
      </c>
      <c r="E58" t="s">
        <v>41</v>
      </c>
      <c r="F58" t="s">
        <v>24</v>
      </c>
      <c r="G58" t="str">
        <f>HYPERLINK(_xlfn.CONCAT("https://tablet.otzar.org/",CHAR(35),"/book/676968/p/-1/t/1/fs/0/start/0/end/0/c"),"חומש &lt;תלמידים&gt; - ג (ויקרא)")</f>
        <v>חומש &lt;תלמידים&gt; - ג (ויקרא)</v>
      </c>
      <c r="H58" t="str">
        <f>_xlfn.CONCAT("https://tablet.otzar.org/",CHAR(35),"/book/676968/p/-1/t/1/fs/0/start/0/end/0/c")</f>
        <v>https://tablet.otzar.org/#/book/676968/p/-1/t/1/fs/0/start/0/end/0/c</v>
      </c>
    </row>
    <row r="59" spans="1:8" x14ac:dyDescent="0.25">
      <c r="A59">
        <v>676969</v>
      </c>
      <c r="B59" t="s">
        <v>120</v>
      </c>
      <c r="D59" t="s">
        <v>14</v>
      </c>
      <c r="E59" t="s">
        <v>41</v>
      </c>
      <c r="F59" t="s">
        <v>24</v>
      </c>
      <c r="G59" t="str">
        <f>HYPERLINK(_xlfn.CONCAT("https://tablet.otzar.org/",CHAR(35),"/book/676969/p/-1/t/1/fs/0/start/0/end/0/c"),"חומש &lt;תלמידים&gt; - ד (במדבר)")</f>
        <v>חומש &lt;תלמידים&gt; - ד (במדבר)</v>
      </c>
      <c r="H59" t="str">
        <f>_xlfn.CONCAT("https://tablet.otzar.org/",CHAR(35),"/book/676969/p/-1/t/1/fs/0/start/0/end/0/c")</f>
        <v>https://tablet.otzar.org/#/book/676969/p/-1/t/1/fs/0/start/0/end/0/c</v>
      </c>
    </row>
    <row r="60" spans="1:8" x14ac:dyDescent="0.25">
      <c r="A60">
        <v>676970</v>
      </c>
      <c r="B60" t="s">
        <v>121</v>
      </c>
      <c r="D60" t="s">
        <v>14</v>
      </c>
      <c r="E60" t="s">
        <v>41</v>
      </c>
      <c r="F60" t="s">
        <v>24</v>
      </c>
      <c r="G60" t="str">
        <f>HYPERLINK(_xlfn.CONCAT("https://tablet.otzar.org/",CHAR(35),"/book/676970/p/-1/t/1/fs/0/start/0/end/0/c"),"חומש &lt;תלמידים&gt; - ה (דברים)")</f>
        <v>חומש &lt;תלמידים&gt; - ה (דברים)</v>
      </c>
      <c r="H60" t="str">
        <f>_xlfn.CONCAT("https://tablet.otzar.org/",CHAR(35),"/book/676970/p/-1/t/1/fs/0/start/0/end/0/c")</f>
        <v>https://tablet.otzar.org/#/book/676970/p/-1/t/1/fs/0/start/0/end/0/c</v>
      </c>
    </row>
    <row r="61" spans="1:8" x14ac:dyDescent="0.25">
      <c r="A61">
        <v>602244</v>
      </c>
      <c r="B61" t="s">
        <v>122</v>
      </c>
      <c r="C61" t="s">
        <v>21</v>
      </c>
      <c r="D61" t="s">
        <v>14</v>
      </c>
      <c r="E61" t="s">
        <v>15</v>
      </c>
      <c r="F61" t="s">
        <v>24</v>
      </c>
      <c r="G61" t="str">
        <f>HYPERLINK(_xlfn.CONCAT("https://tablet.otzar.org/",CHAR(35),"/exKotar/602244"),"חומש אור החיים המבואר - 10 כרכים")</f>
        <v>חומש אור החיים המבואר - 10 כרכים</v>
      </c>
      <c r="H61" t="str">
        <f>_xlfn.CONCAT("https://tablet.otzar.org/",CHAR(35),"/exKotar/602244")</f>
        <v>https://tablet.otzar.org/#/exKotar/602244</v>
      </c>
    </row>
    <row r="62" spans="1:8" x14ac:dyDescent="0.25">
      <c r="A62">
        <v>674872</v>
      </c>
      <c r="B62" t="s">
        <v>123</v>
      </c>
      <c r="C62" t="s">
        <v>124</v>
      </c>
      <c r="D62" t="s">
        <v>14</v>
      </c>
      <c r="E62" t="s">
        <v>18</v>
      </c>
      <c r="F62" t="s">
        <v>24</v>
      </c>
      <c r="G62" t="str">
        <f>HYPERLINK(_xlfn.CONCAT("https://tablet.otzar.org/",CHAR(35),"/exKotar/674872"),"חומש אור החיים עם פירוש משולב - 5 כרכים")</f>
        <v>חומש אור החיים עם פירוש משולב - 5 כרכים</v>
      </c>
      <c r="H62" t="str">
        <f>_xlfn.CONCAT("https://tablet.otzar.org/",CHAR(35),"/exKotar/674872")</f>
        <v>https://tablet.otzar.org/#/exKotar/674872</v>
      </c>
    </row>
    <row r="63" spans="1:8" x14ac:dyDescent="0.25">
      <c r="A63">
        <v>674955</v>
      </c>
      <c r="B63" t="s">
        <v>125</v>
      </c>
      <c r="C63" t="s">
        <v>21</v>
      </c>
      <c r="D63" t="s">
        <v>14</v>
      </c>
      <c r="E63" t="s">
        <v>80</v>
      </c>
      <c r="F63" t="s">
        <v>24</v>
      </c>
      <c r="G63" t="str">
        <f>HYPERLINK(_xlfn.CONCAT("https://tablet.otzar.org/",CHAR(35),"/book/674955/p/-1/t/1/fs/0/start/0/end/0/c"),"חומש בית הכנסת - מהד""""ח")</f>
        <v>חומש בית הכנסת - מהד""ח</v>
      </c>
      <c r="H63" t="str">
        <f>_xlfn.CONCAT("https://tablet.otzar.org/",CHAR(35),"/book/674955/p/-1/t/1/fs/0/start/0/end/0/c")</f>
        <v>https://tablet.otzar.org/#/book/674955/p/-1/t/1/fs/0/start/0/end/0/c</v>
      </c>
    </row>
    <row r="64" spans="1:8" x14ac:dyDescent="0.25">
      <c r="A64">
        <v>602260</v>
      </c>
      <c r="B64" t="s">
        <v>126</v>
      </c>
      <c r="C64" t="s">
        <v>127</v>
      </c>
      <c r="D64" t="s">
        <v>14</v>
      </c>
      <c r="E64" t="s">
        <v>15</v>
      </c>
      <c r="F64" t="s">
        <v>24</v>
      </c>
      <c r="G64" t="str">
        <f>HYPERLINK(_xlfn.CONCAT("https://tablet.otzar.org/",CHAR(35),"/exKotar/602260"),"חומש ספורנו המבואר - 5 כרכים")</f>
        <v>חומש ספורנו המבואר - 5 כרכים</v>
      </c>
      <c r="H64" t="str">
        <f>_xlfn.CONCAT("https://tablet.otzar.org/",CHAR(35),"/exKotar/602260")</f>
        <v>https://tablet.otzar.org/#/exKotar/602260</v>
      </c>
    </row>
    <row r="65" spans="1:8" x14ac:dyDescent="0.25">
      <c r="A65">
        <v>602278</v>
      </c>
      <c r="B65" t="s">
        <v>128</v>
      </c>
      <c r="C65" t="s">
        <v>21</v>
      </c>
      <c r="D65" t="s">
        <v>14</v>
      </c>
      <c r="E65" t="s">
        <v>15</v>
      </c>
      <c r="F65" t="s">
        <v>24</v>
      </c>
      <c r="G65" t="str">
        <f>HYPERLINK(_xlfn.CONCAT("https://tablet.otzar.org/",CHAR(35),"/exKotar/602278"),"חומש רמב""""ן המבואר - 10 כרכים")</f>
        <v>חומש רמב""ן המבואר - 10 כרכים</v>
      </c>
      <c r="H65" t="str">
        <f>_xlfn.CONCAT("https://tablet.otzar.org/",CHAR(35),"/exKotar/602278")</f>
        <v>https://tablet.otzar.org/#/exKotar/602278</v>
      </c>
    </row>
    <row r="66" spans="1:8" x14ac:dyDescent="0.25">
      <c r="A66">
        <v>674949</v>
      </c>
      <c r="B66" t="s">
        <v>129</v>
      </c>
      <c r="C66" t="s">
        <v>130</v>
      </c>
      <c r="D66" t="s">
        <v>14</v>
      </c>
      <c r="E66" t="s">
        <v>18</v>
      </c>
      <c r="F66" t="s">
        <v>24</v>
      </c>
      <c r="G66" t="str">
        <f>HYPERLINK(_xlfn.CONCAT("https://tablet.otzar.org/",CHAR(35),"/exKotar/674949"),"חומש רמב""""ן עם פירוש משולב - 5 כרכים")</f>
        <v>חומש רמב""ן עם פירוש משולב - 5 כרכים</v>
      </c>
      <c r="H66" t="str">
        <f>_xlfn.CONCAT("https://tablet.otzar.org/",CHAR(35),"/exKotar/674949")</f>
        <v>https://tablet.otzar.org/#/exKotar/674949</v>
      </c>
    </row>
    <row r="67" spans="1:8" x14ac:dyDescent="0.25">
      <c r="A67">
        <v>602265</v>
      </c>
      <c r="B67" t="s">
        <v>131</v>
      </c>
      <c r="C67" t="s">
        <v>21</v>
      </c>
      <c r="D67" t="s">
        <v>14</v>
      </c>
      <c r="E67" t="s">
        <v>15</v>
      </c>
      <c r="F67" t="s">
        <v>24</v>
      </c>
      <c r="G67" t="str">
        <f>HYPERLINK(_xlfn.CONCAT("https://tablet.otzar.org/",CHAR(35),"/exKotar/602265"),"חומש רש""""י המבואר - 5 כרכים")</f>
        <v>חומש רש""י המבואר - 5 כרכים</v>
      </c>
      <c r="H67" t="str">
        <f>_xlfn.CONCAT("https://tablet.otzar.org/",CHAR(35),"/exKotar/602265")</f>
        <v>https://tablet.otzar.org/#/exKotar/602265</v>
      </c>
    </row>
    <row r="68" spans="1:8" x14ac:dyDescent="0.25">
      <c r="A68">
        <v>677182</v>
      </c>
      <c r="B68" t="s">
        <v>132</v>
      </c>
      <c r="C68" t="s">
        <v>21</v>
      </c>
      <c r="F68" t="s">
        <v>24</v>
      </c>
      <c r="G68" t="str">
        <f>HYPERLINK(_xlfn.CONCAT("https://tablet.otzar.org/",CHAR(35),"/exKotar/677182"),"חומש שפה ברורה - 5 כרכים")</f>
        <v>חומש שפה ברורה - 5 כרכים</v>
      </c>
      <c r="H68" t="str">
        <f>_xlfn.CONCAT("https://tablet.otzar.org/",CHAR(35),"/exKotar/677182")</f>
        <v>https://tablet.otzar.org/#/exKotar/677182</v>
      </c>
    </row>
    <row r="69" spans="1:8" x14ac:dyDescent="0.25">
      <c r="A69">
        <v>602377</v>
      </c>
      <c r="B69" t="s">
        <v>133</v>
      </c>
      <c r="C69" t="s">
        <v>134</v>
      </c>
      <c r="D69" t="s">
        <v>14</v>
      </c>
      <c r="E69" t="s">
        <v>135</v>
      </c>
      <c r="F69" t="s">
        <v>42</v>
      </c>
      <c r="G69" t="str">
        <f>HYPERLINK(_xlfn.CONCAT("https://tablet.otzar.org/",CHAR(35),"/exKotar/602377"),"חידושי הב""""ח - 2 כרכים")</f>
        <v>חידושי הב""ח - 2 כרכים</v>
      </c>
      <c r="H69" t="str">
        <f>_xlfn.CONCAT("https://tablet.otzar.org/",CHAR(35),"/exKotar/602377")</f>
        <v>https://tablet.otzar.org/#/exKotar/602377</v>
      </c>
    </row>
    <row r="70" spans="1:8" x14ac:dyDescent="0.25">
      <c r="A70">
        <v>674884</v>
      </c>
      <c r="B70" t="s">
        <v>136</v>
      </c>
      <c r="C70" t="s">
        <v>137</v>
      </c>
      <c r="D70" t="s">
        <v>14</v>
      </c>
      <c r="E70" t="s">
        <v>80</v>
      </c>
      <c r="F70" t="s">
        <v>24</v>
      </c>
      <c r="G70" t="str">
        <f>HYPERLINK(_xlfn.CONCAT("https://tablet.otzar.org/",CHAR(35),"/book/674884/p/-1/t/1/fs/0/start/0/end/0/c"),"חיים וחסד המפואר")</f>
        <v>חיים וחסד המפואר</v>
      </c>
      <c r="H70" t="str">
        <f>_xlfn.CONCAT("https://tablet.otzar.org/",CHAR(35),"/book/674884/p/-1/t/1/fs/0/start/0/end/0/c")</f>
        <v>https://tablet.otzar.org/#/book/674884/p/-1/t/1/fs/0/start/0/end/0/c</v>
      </c>
    </row>
    <row r="71" spans="1:8" x14ac:dyDescent="0.25">
      <c r="A71">
        <v>676921</v>
      </c>
      <c r="B71" t="s">
        <v>138</v>
      </c>
      <c r="C71" t="s">
        <v>139</v>
      </c>
      <c r="D71" t="s">
        <v>14</v>
      </c>
      <c r="E71" t="s">
        <v>10</v>
      </c>
      <c r="F71" t="s">
        <v>24</v>
      </c>
      <c r="G71" t="str">
        <f>HYPERLINK(_xlfn.CONCAT("https://tablet.otzar.org/",CHAR(35),"/exKotar/676921"),"חק לישראל &lt;עוז והדר&gt; - 10 כרכים")</f>
        <v>חק לישראל &lt;עוז והדר&gt; - 10 כרכים</v>
      </c>
      <c r="H71" t="str">
        <f>_xlfn.CONCAT("https://tablet.otzar.org/",CHAR(35),"/exKotar/676921")</f>
        <v>https://tablet.otzar.org/#/exKotar/676921</v>
      </c>
    </row>
    <row r="72" spans="1:8" x14ac:dyDescent="0.25">
      <c r="A72">
        <v>602748</v>
      </c>
      <c r="B72" t="s">
        <v>140</v>
      </c>
      <c r="C72" t="s">
        <v>21</v>
      </c>
      <c r="D72" t="s">
        <v>14</v>
      </c>
      <c r="E72" t="s">
        <v>26</v>
      </c>
      <c r="F72" t="s">
        <v>141</v>
      </c>
      <c r="G72" t="str">
        <f>HYPERLINK(_xlfn.CONCAT("https://tablet.otzar.org/",CHAR(35),"/exKotar/602748"),"חק לישראל המבואר - 4 כרכים")</f>
        <v>חק לישראל המבואר - 4 כרכים</v>
      </c>
      <c r="H72" t="str">
        <f>_xlfn.CONCAT("https://tablet.otzar.org/",CHAR(35),"/exKotar/602748")</f>
        <v>https://tablet.otzar.org/#/exKotar/602748</v>
      </c>
    </row>
    <row r="73" spans="1:8" x14ac:dyDescent="0.25">
      <c r="A73">
        <v>677504</v>
      </c>
      <c r="B73" t="s">
        <v>142</v>
      </c>
      <c r="C73" t="s">
        <v>21</v>
      </c>
      <c r="D73" t="s">
        <v>14</v>
      </c>
      <c r="E73" t="s">
        <v>41</v>
      </c>
      <c r="F73" t="s">
        <v>42</v>
      </c>
      <c r="G73" t="str">
        <f>HYPERLINK(_xlfn.CONCAT("https://tablet.otzar.org/",CHAR(35),"/exKotar/677504"),"טבלאות וסיכומים על הש""""ס - 3 כרכים")</f>
        <v>טבלאות וסיכומים על הש""ס - 3 כרכים</v>
      </c>
      <c r="H73" t="str">
        <f>_xlfn.CONCAT("https://tablet.otzar.org/",CHAR(35),"/exKotar/677504")</f>
        <v>https://tablet.otzar.org/#/exKotar/677504</v>
      </c>
    </row>
    <row r="74" spans="1:8" x14ac:dyDescent="0.25">
      <c r="A74">
        <v>677513</v>
      </c>
      <c r="B74" t="s">
        <v>143</v>
      </c>
      <c r="C74" t="s">
        <v>144</v>
      </c>
      <c r="D74" t="s">
        <v>14</v>
      </c>
      <c r="E74" t="s">
        <v>41</v>
      </c>
      <c r="F74" t="s">
        <v>24</v>
      </c>
      <c r="G74" t="str">
        <f>HYPERLINK(_xlfn.CONCAT("https://tablet.otzar.org/",CHAR(35),"/book/677513/p/-1/t/1/fs/0/start/0/end/0/c"),"יד אבי שלום &lt;מהדורה חדשה&gt;")</f>
        <v>יד אבי שלום &lt;מהדורה חדשה&gt;</v>
      </c>
      <c r="H74" t="str">
        <f>_xlfn.CONCAT("https://tablet.otzar.org/",CHAR(35),"/book/677513/p/-1/t/1/fs/0/start/0/end/0/c")</f>
        <v>https://tablet.otzar.org/#/book/677513/p/-1/t/1/fs/0/start/0/end/0/c</v>
      </c>
    </row>
    <row r="75" spans="1:8" x14ac:dyDescent="0.25">
      <c r="A75">
        <v>660013</v>
      </c>
      <c r="B75" t="s">
        <v>145</v>
      </c>
      <c r="C75" t="s">
        <v>146</v>
      </c>
      <c r="D75" t="s">
        <v>14</v>
      </c>
      <c r="E75" t="s">
        <v>147</v>
      </c>
      <c r="F75" t="s">
        <v>57</v>
      </c>
      <c r="G75" t="str">
        <f>HYPERLINK(_xlfn.CONCAT("https://tablet.otzar.org/",CHAR(35),"/book/660013/p/-1/t/1/fs/0/start/0/end/0/c"),"יוצרות המבואר מתיבתא - מנחת יצחק")</f>
        <v>יוצרות המבואר מתיבתא - מנחת יצחק</v>
      </c>
      <c r="H75" t="str">
        <f>_xlfn.CONCAT("https://tablet.otzar.org/",CHAR(35),"/book/660013/p/-1/t/1/fs/0/start/0/end/0/c")</f>
        <v>https://tablet.otzar.org/#/book/660013/p/-1/t/1/fs/0/start/0/end/0/c</v>
      </c>
    </row>
    <row r="76" spans="1:8" x14ac:dyDescent="0.25">
      <c r="A76">
        <v>677514</v>
      </c>
      <c r="B76" t="s">
        <v>148</v>
      </c>
      <c r="C76" t="s">
        <v>21</v>
      </c>
      <c r="D76" t="s">
        <v>14</v>
      </c>
      <c r="E76" t="s">
        <v>26</v>
      </c>
      <c r="F76" t="s">
        <v>57</v>
      </c>
      <c r="G76" t="str">
        <f>HYPERLINK(_xlfn.CONCAT("https://tablet.otzar.org/",CHAR(35),"/book/677514/p/-1/t/1/fs/0/start/0/end/0/c"),"יוצרות ומוספין המבואר מתיבתא - ד שבתות ושבת הגדול")</f>
        <v>יוצרות ומוספין המבואר מתיבתא - ד שבתות ושבת הגדול</v>
      </c>
      <c r="H76" t="str">
        <f>_xlfn.CONCAT("https://tablet.otzar.org/",CHAR(35),"/book/677514/p/-1/t/1/fs/0/start/0/end/0/c")</f>
        <v>https://tablet.otzar.org/#/book/677514/p/-1/t/1/fs/0/start/0/end/0/c</v>
      </c>
    </row>
    <row r="77" spans="1:8" x14ac:dyDescent="0.25">
      <c r="A77">
        <v>677565</v>
      </c>
      <c r="B77" t="s">
        <v>149</v>
      </c>
      <c r="C77" t="s">
        <v>150</v>
      </c>
      <c r="D77" t="s">
        <v>151</v>
      </c>
      <c r="E77" t="s">
        <v>15</v>
      </c>
      <c r="F77" t="s">
        <v>60</v>
      </c>
      <c r="G77" t="str">
        <f>HYPERLINK(_xlfn.CONCAT("https://tablet.otzar.org/",CHAR(35),"/book/677565/p/-1/t/1/fs/0/start/0/end/0/c"),"לב טהור")</f>
        <v>לב טהור</v>
      </c>
      <c r="H77" t="str">
        <f>_xlfn.CONCAT("https://tablet.otzar.org/",CHAR(35),"/book/677565/p/-1/t/1/fs/0/start/0/end/0/c")</f>
        <v>https://tablet.otzar.org/#/book/677565/p/-1/t/1/fs/0/start/0/end/0/c</v>
      </c>
    </row>
    <row r="78" spans="1:8" x14ac:dyDescent="0.25">
      <c r="A78">
        <v>602544</v>
      </c>
      <c r="B78" t="s">
        <v>152</v>
      </c>
      <c r="C78" t="s">
        <v>153</v>
      </c>
      <c r="D78" t="s">
        <v>14</v>
      </c>
      <c r="E78" t="s">
        <v>154</v>
      </c>
      <c r="F78" t="s">
        <v>155</v>
      </c>
      <c r="G78" t="str">
        <f>HYPERLINK(_xlfn.CONCAT("https://tablet.otzar.org/",CHAR(35),"/exKotar/602544"),"מאמר מרדכי &lt;עוז והדר&gt;  - 4 כרכים")</f>
        <v>מאמר מרדכי &lt;עוז והדר&gt;  - 4 כרכים</v>
      </c>
      <c r="H78" t="str">
        <f>_xlfn.CONCAT("https://tablet.otzar.org/",CHAR(35),"/exKotar/602544")</f>
        <v>https://tablet.otzar.org/#/exKotar/602544</v>
      </c>
    </row>
    <row r="79" spans="1:8" x14ac:dyDescent="0.25">
      <c r="A79">
        <v>677520</v>
      </c>
      <c r="B79" t="s">
        <v>156</v>
      </c>
      <c r="C79" t="s">
        <v>21</v>
      </c>
      <c r="D79" t="s">
        <v>14</v>
      </c>
      <c r="E79" t="s">
        <v>31</v>
      </c>
      <c r="F79" t="s">
        <v>24</v>
      </c>
      <c r="G79" t="str">
        <f>HYPERLINK(_xlfn.CONCAT("https://tablet.otzar.org/",CHAR(35),"/book/677520/p/-1/t/1/fs/0/start/0/end/0/c"),"מגילת אסתר מבוארת - ליקוט ביאורים מאוה""""ח הק'")</f>
        <v>מגילת אסתר מבוארת - ליקוט ביאורים מאוה""ח הק'</v>
      </c>
      <c r="H79" t="str">
        <f>_xlfn.CONCAT("https://tablet.otzar.org/",CHAR(35),"/book/677520/p/-1/t/1/fs/0/start/0/end/0/c")</f>
        <v>https://tablet.otzar.org/#/book/677520/p/-1/t/1/fs/0/start/0/end/0/c</v>
      </c>
    </row>
    <row r="80" spans="1:8" x14ac:dyDescent="0.25">
      <c r="A80">
        <v>677541</v>
      </c>
      <c r="B80" t="s">
        <v>157</v>
      </c>
      <c r="C80" t="s">
        <v>21</v>
      </c>
      <c r="D80" t="s">
        <v>14</v>
      </c>
      <c r="E80" t="s">
        <v>26</v>
      </c>
      <c r="F80" t="s">
        <v>24</v>
      </c>
      <c r="G80" t="str">
        <f>HYPERLINK(_xlfn.CONCAT("https://tablet.otzar.org/",CHAR(35),"/book/677541/p/-1/t/1/fs/0/start/0/end/0/c"),"מגילת אסתר מבוארת &lt;מתיבתא&gt;")</f>
        <v>מגילת אסתר מבוארת &lt;מתיבתא&gt;</v>
      </c>
      <c r="H80" t="str">
        <f>_xlfn.CONCAT("https://tablet.otzar.org/",CHAR(35),"/book/677541/p/-1/t/1/fs/0/start/0/end/0/c")</f>
        <v>https://tablet.otzar.org/#/book/677541/p/-1/t/1/fs/0/start/0/end/0/c</v>
      </c>
    </row>
    <row r="81" spans="1:8" x14ac:dyDescent="0.25">
      <c r="A81">
        <v>602295</v>
      </c>
      <c r="B81" t="s">
        <v>158</v>
      </c>
      <c r="C81" t="s">
        <v>21</v>
      </c>
      <c r="D81" t="s">
        <v>14</v>
      </c>
      <c r="E81" t="s">
        <v>26</v>
      </c>
      <c r="G81" t="str">
        <f>HYPERLINK(_xlfn.CONCAT("https://tablet.otzar.org/",CHAR(35),"/book/602295/p/-1/t/1/fs/0/start/0/end/0/c"),"מגילת תענית - עוז והדר")</f>
        <v>מגילת תענית - עוז והדר</v>
      </c>
      <c r="H81" t="str">
        <f>_xlfn.CONCAT("https://tablet.otzar.org/",CHAR(35),"/book/602295/p/-1/t/1/fs/0/start/0/end/0/c")</f>
        <v>https://tablet.otzar.org/#/book/602295/p/-1/t/1/fs/0/start/0/end/0/c</v>
      </c>
    </row>
    <row r="82" spans="1:8" x14ac:dyDescent="0.25">
      <c r="A82">
        <v>676917</v>
      </c>
      <c r="B82" t="s">
        <v>159</v>
      </c>
      <c r="C82" t="s">
        <v>21</v>
      </c>
      <c r="D82" t="s">
        <v>14</v>
      </c>
      <c r="E82" t="s">
        <v>160</v>
      </c>
      <c r="F82" t="s">
        <v>24</v>
      </c>
      <c r="G82" t="str">
        <f>HYPERLINK(_xlfn.CONCAT("https://tablet.otzar.org/",CHAR(35),"/book/676917/p/-1/t/1/fs/0/start/0/end/0/c"),"מגלת שיר השירים עם ביאור משולב")</f>
        <v>מגלת שיר השירים עם ביאור משולב</v>
      </c>
      <c r="H82" t="str">
        <f>_xlfn.CONCAT("https://tablet.otzar.org/",CHAR(35),"/book/676917/p/-1/t/1/fs/0/start/0/end/0/c")</f>
        <v>https://tablet.otzar.org/#/book/676917/p/-1/t/1/fs/0/start/0/end/0/c</v>
      </c>
    </row>
    <row r="83" spans="1:8" x14ac:dyDescent="0.25">
      <c r="A83">
        <v>676979</v>
      </c>
      <c r="B83" t="s">
        <v>161</v>
      </c>
      <c r="C83" t="s">
        <v>162</v>
      </c>
      <c r="D83" t="s">
        <v>14</v>
      </c>
      <c r="E83" t="s">
        <v>163</v>
      </c>
      <c r="G83" t="str">
        <f>HYPERLINK(_xlfn.CONCAT("https://tablet.otzar.org/",CHAR(35),"/exKotar/676979"),"מדרש רבה המשולב - 14 כרכים")</f>
        <v>מדרש רבה המשולב - 14 כרכים</v>
      </c>
      <c r="H83" t="str">
        <f>_xlfn.CONCAT("https://tablet.otzar.org/",CHAR(35),"/exKotar/676979")</f>
        <v>https://tablet.otzar.org/#/exKotar/676979</v>
      </c>
    </row>
    <row r="84" spans="1:8" x14ac:dyDescent="0.25">
      <c r="A84">
        <v>674877</v>
      </c>
      <c r="B84" t="s">
        <v>164</v>
      </c>
      <c r="C84" t="s">
        <v>124</v>
      </c>
      <c r="D84" t="s">
        <v>14</v>
      </c>
      <c r="E84" t="s">
        <v>163</v>
      </c>
      <c r="F84" t="s">
        <v>24</v>
      </c>
      <c r="G84" t="str">
        <f>HYPERLINK(_xlfn.CONCAT("https://tablet.otzar.org/",CHAR(35),"/exKotar/674877"),"מוסרי אור החיים המבואר - 2 כרכים")</f>
        <v>מוסרי אור החיים המבואר - 2 כרכים</v>
      </c>
      <c r="H84" t="str">
        <f>_xlfn.CONCAT("https://tablet.otzar.org/",CHAR(35),"/exKotar/674877")</f>
        <v>https://tablet.otzar.org/#/exKotar/674877</v>
      </c>
    </row>
    <row r="85" spans="1:8" x14ac:dyDescent="0.25">
      <c r="A85">
        <v>676987</v>
      </c>
      <c r="B85" t="s">
        <v>165</v>
      </c>
      <c r="C85" t="s">
        <v>21</v>
      </c>
      <c r="D85" t="s">
        <v>14</v>
      </c>
      <c r="E85" t="s">
        <v>52</v>
      </c>
      <c r="F85" t="s">
        <v>57</v>
      </c>
      <c r="G85" t="str">
        <f>HYPERLINK(_xlfn.CONCAT("https://tablet.otzar.org/",CHAR(35),"/exKotar/676987"),"מחזור המבואר מתיבתא - 3 כרכים")</f>
        <v>מחזור המבואר מתיבתא - 3 כרכים</v>
      </c>
      <c r="H85" t="str">
        <f>_xlfn.CONCAT("https://tablet.otzar.org/",CHAR(35),"/exKotar/676987")</f>
        <v>https://tablet.otzar.org/#/exKotar/676987</v>
      </c>
    </row>
    <row r="86" spans="1:8" x14ac:dyDescent="0.25">
      <c r="A86">
        <v>677389</v>
      </c>
      <c r="B86" t="s">
        <v>166</v>
      </c>
      <c r="C86" t="s">
        <v>167</v>
      </c>
      <c r="D86" t="s">
        <v>14</v>
      </c>
      <c r="E86" t="s">
        <v>10</v>
      </c>
      <c r="G86" t="str">
        <f>HYPERLINK(_xlfn.CONCAT("https://tablet.otzar.org/",CHAR(35),"/book/677389/p/-1/t/1/fs/0/start/0/end/0/c"),"מחזור השלם &lt;אשכנז&gt; - יום כיפור")</f>
        <v>מחזור השלם &lt;אשכנז&gt; - יום כיפור</v>
      </c>
      <c r="H86" t="str">
        <f>_xlfn.CONCAT("https://tablet.otzar.org/",CHAR(35),"/book/677389/p/-1/t/1/fs/0/start/0/end/0/c")</f>
        <v>https://tablet.otzar.org/#/book/677389/p/-1/t/1/fs/0/start/0/end/0/c</v>
      </c>
    </row>
    <row r="87" spans="1:8" x14ac:dyDescent="0.25">
      <c r="A87">
        <v>677391</v>
      </c>
      <c r="B87" t="s">
        <v>168</v>
      </c>
      <c r="C87" t="s">
        <v>169</v>
      </c>
      <c r="D87" t="s">
        <v>14</v>
      </c>
      <c r="E87" t="s">
        <v>10</v>
      </c>
      <c r="G87" t="str">
        <f>HYPERLINK(_xlfn.CONCAT("https://tablet.otzar.org/",CHAR(35),"/book/677391/p/-1/t/1/fs/0/start/0/end/0/c"),"מחזור השלם &lt;אשכנז&gt; - פסח")</f>
        <v>מחזור השלם &lt;אשכנז&gt; - פסח</v>
      </c>
      <c r="H87" t="str">
        <f>_xlfn.CONCAT("https://tablet.otzar.org/",CHAR(35),"/book/677391/p/-1/t/1/fs/0/start/0/end/0/c")</f>
        <v>https://tablet.otzar.org/#/book/677391/p/-1/t/1/fs/0/start/0/end/0/c</v>
      </c>
    </row>
    <row r="88" spans="1:8" x14ac:dyDescent="0.25">
      <c r="A88">
        <v>677403</v>
      </c>
      <c r="B88" t="s">
        <v>170</v>
      </c>
      <c r="C88" t="s">
        <v>171</v>
      </c>
      <c r="D88" t="s">
        <v>14</v>
      </c>
      <c r="E88" t="s">
        <v>10</v>
      </c>
      <c r="G88" t="str">
        <f>HYPERLINK(_xlfn.CONCAT("https://tablet.otzar.org/",CHAR(35),"/book/677403/p/-1/t/1/fs/0/start/0/end/0/c"),"מחזור השלם &lt;אשכנז&gt; - ראש השנה")</f>
        <v>מחזור השלם &lt;אשכנז&gt; - ראש השנה</v>
      </c>
      <c r="H88" t="str">
        <f>_xlfn.CONCAT("https://tablet.otzar.org/",CHAR(35),"/book/677403/p/-1/t/1/fs/0/start/0/end/0/c")</f>
        <v>https://tablet.otzar.org/#/book/677403/p/-1/t/1/fs/0/start/0/end/0/c</v>
      </c>
    </row>
    <row r="89" spans="1:8" x14ac:dyDescent="0.25">
      <c r="A89">
        <v>677405</v>
      </c>
      <c r="B89" t="s">
        <v>172</v>
      </c>
      <c r="C89" t="s">
        <v>173</v>
      </c>
      <c r="D89" t="s">
        <v>14</v>
      </c>
      <c r="E89" t="s">
        <v>10</v>
      </c>
      <c r="G89" t="str">
        <f>HYPERLINK(_xlfn.CONCAT("https://tablet.otzar.org/",CHAR(35),"/book/677405/p/-1/t/1/fs/0/start/0/end/0/c"),"מחזור השלם &lt;אשכנז&gt; - שבועות")</f>
        <v>מחזור השלם &lt;אשכנז&gt; - שבועות</v>
      </c>
      <c r="H89" t="str">
        <f>_xlfn.CONCAT("https://tablet.otzar.org/",CHAR(35),"/book/677405/p/-1/t/1/fs/0/start/0/end/0/c")</f>
        <v>https://tablet.otzar.org/#/book/677405/p/-1/t/1/fs/0/start/0/end/0/c</v>
      </c>
    </row>
    <row r="90" spans="1:8" x14ac:dyDescent="0.25">
      <c r="A90">
        <v>677407</v>
      </c>
      <c r="B90" t="s">
        <v>174</v>
      </c>
      <c r="C90" t="s">
        <v>175</v>
      </c>
      <c r="D90" t="s">
        <v>14</v>
      </c>
      <c r="E90" t="s">
        <v>10</v>
      </c>
      <c r="G90" t="str">
        <f>HYPERLINK(_xlfn.CONCAT("https://tablet.otzar.org/",CHAR(35),"/book/677407/p/-1/t/1/fs/0/start/0/end/0/c"),"מחזור השלם &lt;אשכנז&gt; - סוכות")</f>
        <v>מחזור השלם &lt;אשכנז&gt; - סוכות</v>
      </c>
      <c r="H90" t="str">
        <f>_xlfn.CONCAT("https://tablet.otzar.org/",CHAR(35),"/book/677407/p/-1/t/1/fs/0/start/0/end/0/c")</f>
        <v>https://tablet.otzar.org/#/book/677407/p/-1/t/1/fs/0/start/0/end/0/c</v>
      </c>
    </row>
    <row r="91" spans="1:8" x14ac:dyDescent="0.25">
      <c r="A91">
        <v>677393</v>
      </c>
      <c r="B91" t="s">
        <v>176</v>
      </c>
      <c r="C91" t="s">
        <v>177</v>
      </c>
      <c r="D91" t="s">
        <v>14</v>
      </c>
      <c r="E91" t="s">
        <v>10</v>
      </c>
      <c r="G91" t="str">
        <f>HYPERLINK(_xlfn.CONCAT("https://tablet.otzar.org/",CHAR(35),"/book/677393/p/-1/t/1/fs/0/start/0/end/0/c"),"מחזור השלם &lt;ספרד&gt; - ראש השנה")</f>
        <v>מחזור השלם &lt;ספרד&gt; - ראש השנה</v>
      </c>
      <c r="H91" t="str">
        <f>_xlfn.CONCAT("https://tablet.otzar.org/",CHAR(35),"/book/677393/p/-1/t/1/fs/0/start/0/end/0/c")</f>
        <v>https://tablet.otzar.org/#/book/677393/p/-1/t/1/fs/0/start/0/end/0/c</v>
      </c>
    </row>
    <row r="92" spans="1:8" x14ac:dyDescent="0.25">
      <c r="A92">
        <v>677395</v>
      </c>
      <c r="B92" t="s">
        <v>178</v>
      </c>
      <c r="C92" t="s">
        <v>179</v>
      </c>
      <c r="D92" t="s">
        <v>14</v>
      </c>
      <c r="E92" t="s">
        <v>10</v>
      </c>
      <c r="G92" t="str">
        <f>HYPERLINK(_xlfn.CONCAT("https://tablet.otzar.org/",CHAR(35),"/book/677395/p/-1/t/1/fs/0/start/0/end/0/c"),"מחזור השלם &lt;ספרד&gt; - יום כיפור")</f>
        <v>מחזור השלם &lt;ספרד&gt; - יום כיפור</v>
      </c>
      <c r="H92" t="str">
        <f>_xlfn.CONCAT("https://tablet.otzar.org/",CHAR(35),"/book/677395/p/-1/t/1/fs/0/start/0/end/0/c")</f>
        <v>https://tablet.otzar.org/#/book/677395/p/-1/t/1/fs/0/start/0/end/0/c</v>
      </c>
    </row>
    <row r="93" spans="1:8" x14ac:dyDescent="0.25">
      <c r="A93">
        <v>677397</v>
      </c>
      <c r="B93" t="s">
        <v>180</v>
      </c>
      <c r="C93" t="s">
        <v>181</v>
      </c>
      <c r="D93" t="s">
        <v>14</v>
      </c>
      <c r="E93" t="s">
        <v>10</v>
      </c>
      <c r="G93" t="str">
        <f>HYPERLINK(_xlfn.CONCAT("https://tablet.otzar.org/",CHAR(35),"/book/677397/p/-1/t/1/fs/0/start/0/end/0/c"),"מחזור השלם &lt;ספרד&gt; - סוכות")</f>
        <v>מחזור השלם &lt;ספרד&gt; - סוכות</v>
      </c>
      <c r="H93" t="str">
        <f>_xlfn.CONCAT("https://tablet.otzar.org/",CHAR(35),"/book/677397/p/-1/t/1/fs/0/start/0/end/0/c")</f>
        <v>https://tablet.otzar.org/#/book/677397/p/-1/t/1/fs/0/start/0/end/0/c</v>
      </c>
    </row>
    <row r="94" spans="1:8" x14ac:dyDescent="0.25">
      <c r="A94">
        <v>677398</v>
      </c>
      <c r="B94" t="s">
        <v>182</v>
      </c>
      <c r="C94" t="s">
        <v>183</v>
      </c>
      <c r="D94" t="s">
        <v>14</v>
      </c>
      <c r="E94" t="s">
        <v>10</v>
      </c>
      <c r="G94" t="str">
        <f>HYPERLINK(_xlfn.CONCAT("https://tablet.otzar.org/",CHAR(35),"/book/677398/p/-1/t/1/fs/0/start/0/end/0/c"),"מחזור השלם &lt;ספרד&gt; - פסח")</f>
        <v>מחזור השלם &lt;ספרד&gt; - פסח</v>
      </c>
      <c r="H94" t="str">
        <f>_xlfn.CONCAT("https://tablet.otzar.org/",CHAR(35),"/book/677398/p/-1/t/1/fs/0/start/0/end/0/c")</f>
        <v>https://tablet.otzar.org/#/book/677398/p/-1/t/1/fs/0/start/0/end/0/c</v>
      </c>
    </row>
    <row r="95" spans="1:8" x14ac:dyDescent="0.25">
      <c r="A95">
        <v>677400</v>
      </c>
      <c r="B95" t="s">
        <v>184</v>
      </c>
      <c r="C95" t="s">
        <v>185</v>
      </c>
      <c r="D95" t="s">
        <v>14</v>
      </c>
      <c r="E95" t="s">
        <v>10</v>
      </c>
      <c r="G95" t="str">
        <f>HYPERLINK(_xlfn.CONCAT("https://tablet.otzar.org/",CHAR(35),"/book/677400/p/-1/t/1/fs/0/start/0/end/0/c"),"מחזור השלם &lt;ספרד&gt; - שבועות")</f>
        <v>מחזור השלם &lt;ספרד&gt; - שבועות</v>
      </c>
      <c r="H95" t="str">
        <f>_xlfn.CONCAT("https://tablet.otzar.org/",CHAR(35),"/book/677400/p/-1/t/1/fs/0/start/0/end/0/c")</f>
        <v>https://tablet.otzar.org/#/book/677400/p/-1/t/1/fs/0/start/0/end/0/c</v>
      </c>
    </row>
    <row r="96" spans="1:8" x14ac:dyDescent="0.25">
      <c r="A96">
        <v>677521</v>
      </c>
      <c r="B96" t="s">
        <v>186</v>
      </c>
      <c r="C96" t="s">
        <v>187</v>
      </c>
      <c r="D96" t="s">
        <v>14</v>
      </c>
      <c r="E96" t="s">
        <v>18</v>
      </c>
      <c r="G96" t="str">
        <f>HYPERLINK(_xlfn.CONCAT("https://tablet.otzar.org/",CHAR(35),"/book/677521/p/-1/t/1/fs/0/start/0/end/0/c"),"מחזור השלם &lt;ספרד&gt; - שמיני עצרת")</f>
        <v>מחזור השלם &lt;ספרד&gt; - שמיני עצרת</v>
      </c>
      <c r="H96" t="str">
        <f>_xlfn.CONCAT("https://tablet.otzar.org/",CHAR(35),"/book/677521/p/-1/t/1/fs/0/start/0/end/0/c")</f>
        <v>https://tablet.otzar.org/#/book/677521/p/-1/t/1/fs/0/start/0/end/0/c</v>
      </c>
    </row>
    <row r="97" spans="1:8" x14ac:dyDescent="0.25">
      <c r="A97">
        <v>674957</v>
      </c>
      <c r="B97" t="s">
        <v>188</v>
      </c>
      <c r="C97" t="s">
        <v>21</v>
      </c>
      <c r="D97" t="s">
        <v>14</v>
      </c>
      <c r="E97" t="s">
        <v>100</v>
      </c>
      <c r="F97" t="s">
        <v>57</v>
      </c>
      <c r="G97" t="str">
        <f>HYPERLINK(_xlfn.CONCAT("https://tablet.otzar.org/",CHAR(35),"/book/674957/p/-1/t/1/fs/0/start/0/end/0/c"),"מחזור לפורים &lt;עוז והדר&gt;")</f>
        <v>מחזור לפורים &lt;עוז והדר&gt;</v>
      </c>
      <c r="H97" t="str">
        <f>_xlfn.CONCAT("https://tablet.otzar.org/",CHAR(35),"/book/674957/p/-1/t/1/fs/0/start/0/end/0/c")</f>
        <v>https://tablet.otzar.org/#/book/674957/p/-1/t/1/fs/0/start/0/end/0/c</v>
      </c>
    </row>
    <row r="98" spans="1:8" x14ac:dyDescent="0.25">
      <c r="A98">
        <v>602542</v>
      </c>
      <c r="B98" t="s">
        <v>189</v>
      </c>
      <c r="C98" t="s">
        <v>190</v>
      </c>
      <c r="D98" t="s">
        <v>14</v>
      </c>
      <c r="E98" t="s">
        <v>26</v>
      </c>
      <c r="F98" t="s">
        <v>32</v>
      </c>
      <c r="G98" t="str">
        <f>HYPERLINK(_xlfn.CONCAT("https://tablet.otzar.org/",CHAR(35),"/book/602542/p/-1/t/1/fs/0/start/0/end/0/c"),"מטה אפרים השלם &lt;עוז והדר&gt;")</f>
        <v>מטה אפרים השלם &lt;עוז והדר&gt;</v>
      </c>
      <c r="H98" t="str">
        <f>_xlfn.CONCAT("https://tablet.otzar.org/",CHAR(35),"/book/602542/p/-1/t/1/fs/0/start/0/end/0/c")</f>
        <v>https://tablet.otzar.org/#/book/602542/p/-1/t/1/fs/0/start/0/end/0/c</v>
      </c>
    </row>
    <row r="99" spans="1:8" x14ac:dyDescent="0.25">
      <c r="A99">
        <v>602562</v>
      </c>
      <c r="B99" t="s">
        <v>191</v>
      </c>
      <c r="C99" t="s">
        <v>192</v>
      </c>
      <c r="D99" t="s">
        <v>14</v>
      </c>
      <c r="E99" t="s">
        <v>31</v>
      </c>
      <c r="F99" t="s">
        <v>24</v>
      </c>
      <c r="G99" t="str">
        <f>HYPERLINK(_xlfn.CONCAT("https://tablet.otzar.org/",CHAR(35),"/exKotar/602562"),"מנות הלוי &lt;עוז והדר&gt;  - 2 כרכים")</f>
        <v>מנות הלוי &lt;עוז והדר&gt;  - 2 כרכים</v>
      </c>
      <c r="H99" t="str">
        <f>_xlfn.CONCAT("https://tablet.otzar.org/",CHAR(35),"/exKotar/602562")</f>
        <v>https://tablet.otzar.org/#/exKotar/602562</v>
      </c>
    </row>
    <row r="100" spans="1:8" x14ac:dyDescent="0.25">
      <c r="A100">
        <v>677522</v>
      </c>
      <c r="B100" t="s">
        <v>193</v>
      </c>
      <c r="C100" t="s">
        <v>194</v>
      </c>
      <c r="D100" t="s">
        <v>14</v>
      </c>
      <c r="E100" t="s">
        <v>41</v>
      </c>
      <c r="F100" t="s">
        <v>195</v>
      </c>
      <c r="G100" t="str">
        <f>HYPERLINK(_xlfn.CONCAT("https://tablet.otzar.org/",CHAR(35),"/book/677522/p/-1/t/1/fs/0/start/0/end/0/c"),"מנחם ציון &lt;עוז והדר&gt;")</f>
        <v>מנחם ציון &lt;עוז והדר&gt;</v>
      </c>
      <c r="H100" t="str">
        <f>_xlfn.CONCAT("https://tablet.otzar.org/",CHAR(35),"/book/677522/p/-1/t/1/fs/0/start/0/end/0/c")</f>
        <v>https://tablet.otzar.org/#/book/677522/p/-1/t/1/fs/0/start/0/end/0/c</v>
      </c>
    </row>
    <row r="101" spans="1:8" x14ac:dyDescent="0.25">
      <c r="A101">
        <v>677524</v>
      </c>
      <c r="B101" t="s">
        <v>196</v>
      </c>
      <c r="C101" t="s">
        <v>197</v>
      </c>
      <c r="D101" t="s">
        <v>14</v>
      </c>
      <c r="E101" t="s">
        <v>18</v>
      </c>
      <c r="F101" t="s">
        <v>60</v>
      </c>
      <c r="G101" t="str">
        <f>HYPERLINK(_xlfn.CONCAT("https://tablet.otzar.org/",CHAR(35),"/book/677524/p/-1/t/1/fs/0/start/0/end/0/c"),"מסילת ישרים &lt;עוז והדר&gt;")</f>
        <v>מסילת ישרים &lt;עוז והדר&gt;</v>
      </c>
      <c r="H101" t="str">
        <f>_xlfn.CONCAT("https://tablet.otzar.org/",CHAR(35),"/book/677524/p/-1/t/1/fs/0/start/0/end/0/c")</f>
        <v>https://tablet.otzar.org/#/book/677524/p/-1/t/1/fs/0/start/0/end/0/c</v>
      </c>
    </row>
    <row r="102" spans="1:8" x14ac:dyDescent="0.25">
      <c r="A102">
        <v>676938</v>
      </c>
      <c r="B102" t="s">
        <v>198</v>
      </c>
      <c r="C102" t="s">
        <v>21</v>
      </c>
      <c r="D102" t="s">
        <v>14</v>
      </c>
      <c r="E102" t="s">
        <v>10</v>
      </c>
      <c r="F102" t="s">
        <v>11</v>
      </c>
      <c r="G102" t="str">
        <f>HYPERLINK(_xlfn.CONCAT("https://tablet.otzar.org/",CHAR(35),"/exKotar/676938"),"מסכת אבות המבואר מתיבתא - 6 כרכים")</f>
        <v>מסכת אבות המבואר מתיבתא - 6 כרכים</v>
      </c>
      <c r="H102" t="str">
        <f>_xlfn.CONCAT("https://tablet.otzar.org/",CHAR(35),"/exKotar/676938")</f>
        <v>https://tablet.otzar.org/#/exKotar/676938</v>
      </c>
    </row>
    <row r="103" spans="1:8" x14ac:dyDescent="0.25">
      <c r="A103">
        <v>602521</v>
      </c>
      <c r="B103" t="s">
        <v>199</v>
      </c>
      <c r="C103" t="s">
        <v>21</v>
      </c>
      <c r="D103" t="s">
        <v>14</v>
      </c>
      <c r="E103" t="s">
        <v>15</v>
      </c>
      <c r="F103" t="s">
        <v>11</v>
      </c>
      <c r="G103" t="str">
        <f>HYPERLINK(_xlfn.CONCAT("https://tablet.otzar.org/",CHAR(35),"/exKotar/602521"),"מסכת אבות עם אוצר מדרשי חז""""ל - 6 כרכים")</f>
        <v>מסכת אבות עם אוצר מדרשי חז""ל - 6 כרכים</v>
      </c>
      <c r="H103" t="str">
        <f>_xlfn.CONCAT("https://tablet.otzar.org/",CHAR(35),"/exKotar/602521")</f>
        <v>https://tablet.otzar.org/#/exKotar/602521</v>
      </c>
    </row>
    <row r="104" spans="1:8" x14ac:dyDescent="0.25">
      <c r="A104">
        <v>677419</v>
      </c>
      <c r="B104" t="s">
        <v>200</v>
      </c>
      <c r="C104" t="s">
        <v>201</v>
      </c>
      <c r="D104" t="s">
        <v>14</v>
      </c>
      <c r="E104" t="s">
        <v>15</v>
      </c>
      <c r="F104" t="s">
        <v>11</v>
      </c>
      <c r="G104" t="str">
        <f>HYPERLINK(_xlfn.CONCAT("https://tablet.otzar.org/",CHAR(35),"/book/677419/p/-1/t/1/fs/0/start/0/end/0/c"),"מסכת אבות עם פירושי האחרונים")</f>
        <v>מסכת אבות עם פירושי האחרונים</v>
      </c>
      <c r="H104" t="str">
        <f>_xlfn.CONCAT("https://tablet.otzar.org/",CHAR(35),"/book/677419/p/-1/t/1/fs/0/start/0/end/0/c")</f>
        <v>https://tablet.otzar.org/#/book/677419/p/-1/t/1/fs/0/start/0/end/0/c</v>
      </c>
    </row>
    <row r="105" spans="1:8" x14ac:dyDescent="0.25">
      <c r="A105">
        <v>602536</v>
      </c>
      <c r="B105" t="s">
        <v>202</v>
      </c>
      <c r="C105" t="s">
        <v>21</v>
      </c>
      <c r="D105" t="s">
        <v>14</v>
      </c>
      <c r="E105" t="s">
        <v>26</v>
      </c>
      <c r="G105" t="str">
        <f>HYPERLINK(_xlfn.CONCAT("https://tablet.otzar.org/",CHAR(35),"/book/602536/p/-1/t/1/fs/0/start/0/end/0/c"),"מסכת שמחות עם ו' פירושים")</f>
        <v>מסכת שמחות עם ו' פירושים</v>
      </c>
      <c r="H105" t="str">
        <f>_xlfn.CONCAT("https://tablet.otzar.org/",CHAR(35),"/book/602536/p/-1/t/1/fs/0/start/0/end/0/c")</f>
        <v>https://tablet.otzar.org/#/book/602536/p/-1/t/1/fs/0/start/0/end/0/c</v>
      </c>
    </row>
    <row r="106" spans="1:8" x14ac:dyDescent="0.25">
      <c r="A106">
        <v>602331</v>
      </c>
      <c r="B106" t="s">
        <v>203</v>
      </c>
      <c r="C106" t="s">
        <v>21</v>
      </c>
      <c r="D106" t="s">
        <v>14</v>
      </c>
      <c r="E106" t="s">
        <v>31</v>
      </c>
      <c r="F106" t="s">
        <v>24</v>
      </c>
      <c r="G106" t="str">
        <f>HYPERLINK(_xlfn.CONCAT("https://tablet.otzar.org/",CHAR(35),"/exKotar/602331"),"מקרא מפורש - 20 כרכים")</f>
        <v>מקרא מפורש - 20 כרכים</v>
      </c>
      <c r="H106" t="str">
        <f>_xlfn.CONCAT("https://tablet.otzar.org/",CHAR(35),"/exKotar/602331")</f>
        <v>https://tablet.otzar.org/#/exKotar/602331</v>
      </c>
    </row>
    <row r="107" spans="1:8" x14ac:dyDescent="0.25">
      <c r="A107">
        <v>602147</v>
      </c>
      <c r="B107" t="s">
        <v>204</v>
      </c>
      <c r="C107" t="s">
        <v>205</v>
      </c>
      <c r="D107" t="s">
        <v>14</v>
      </c>
      <c r="E107" t="s">
        <v>15</v>
      </c>
      <c r="F107" t="s">
        <v>24</v>
      </c>
      <c r="G107" t="str">
        <f>HYPERLINK(_xlfn.CONCAT("https://tablet.otzar.org/",CHAR(35),"/exKotar/602147"),"מקראות גדולות המבואר - 12 כרכים")</f>
        <v>מקראות גדולות המבואר - 12 כרכים</v>
      </c>
      <c r="H107" t="str">
        <f>_xlfn.CONCAT("https://tablet.otzar.org/",CHAR(35),"/exKotar/602147")</f>
        <v>https://tablet.otzar.org/#/exKotar/602147</v>
      </c>
    </row>
    <row r="108" spans="1:8" x14ac:dyDescent="0.25">
      <c r="A108">
        <v>602270</v>
      </c>
      <c r="B108" t="s">
        <v>206</v>
      </c>
      <c r="C108" t="s">
        <v>21</v>
      </c>
      <c r="D108" t="s">
        <v>14</v>
      </c>
      <c r="E108" t="s">
        <v>15</v>
      </c>
      <c r="F108" t="s">
        <v>24</v>
      </c>
      <c r="G108" t="str">
        <f>HYPERLINK(_xlfn.CONCAT("https://tablet.otzar.org/",CHAR(35),"/exKotar/602270"),"מקראות גדולות עוז והדר - 5 כרכים")</f>
        <v>מקראות גדולות עוז והדר - 5 כרכים</v>
      </c>
      <c r="H108" t="str">
        <f>_xlfn.CONCAT("https://tablet.otzar.org/",CHAR(35),"/exKotar/602270")</f>
        <v>https://tablet.otzar.org/#/exKotar/602270</v>
      </c>
    </row>
    <row r="109" spans="1:8" x14ac:dyDescent="0.25">
      <c r="A109">
        <v>602537</v>
      </c>
      <c r="B109" t="s">
        <v>207</v>
      </c>
      <c r="C109" t="s">
        <v>21</v>
      </c>
      <c r="D109" t="s">
        <v>14</v>
      </c>
      <c r="E109" t="s">
        <v>26</v>
      </c>
      <c r="F109" t="s">
        <v>42</v>
      </c>
      <c r="G109" t="str">
        <f>HYPERLINK(_xlfn.CONCAT("https://tablet.otzar.org/",CHAR(35),"/book/602537/p/-1/t/1/fs/0/start/0/end/0/c"),"מרחבי רקיע - מדריך אסטרונומי למסכת ר""""ה")</f>
        <v>מרחבי רקיע - מדריך אסטרונומי למסכת ר""ה</v>
      </c>
      <c r="H109" t="str">
        <f>_xlfn.CONCAT("https://tablet.otzar.org/",CHAR(35),"/book/602537/p/-1/t/1/fs/0/start/0/end/0/c")</f>
        <v>https://tablet.otzar.org/#/book/602537/p/-1/t/1/fs/0/start/0/end/0/c</v>
      </c>
    </row>
    <row r="110" spans="1:8" x14ac:dyDescent="0.25">
      <c r="A110">
        <v>677215</v>
      </c>
      <c r="B110" t="s">
        <v>208</v>
      </c>
      <c r="C110" t="s">
        <v>209</v>
      </c>
      <c r="D110" t="s">
        <v>14</v>
      </c>
      <c r="E110" t="s">
        <v>41</v>
      </c>
      <c r="F110" t="s">
        <v>24</v>
      </c>
      <c r="G110" t="str">
        <f>HYPERLINK(_xlfn.CONCAT("https://tablet.otzar.org/",CHAR(35),"/exKotar/677215"),"משך חכמה &lt;עוז והדר&gt; - 2 כרכים")</f>
        <v>משך חכמה &lt;עוז והדר&gt; - 2 כרכים</v>
      </c>
      <c r="H110" t="str">
        <f>_xlfn.CONCAT("https://tablet.otzar.org/",CHAR(35),"/exKotar/677215")</f>
        <v>https://tablet.otzar.org/#/exKotar/677215</v>
      </c>
    </row>
    <row r="111" spans="1:8" x14ac:dyDescent="0.25">
      <c r="A111">
        <v>677187</v>
      </c>
      <c r="B111" t="s">
        <v>210</v>
      </c>
      <c r="C111" t="s">
        <v>211</v>
      </c>
      <c r="D111" t="s">
        <v>14</v>
      </c>
      <c r="E111" t="s">
        <v>41</v>
      </c>
      <c r="F111" t="s">
        <v>155</v>
      </c>
      <c r="G111" t="str">
        <f>HYPERLINK(_xlfn.CONCAT("https://tablet.otzar.org/",CHAR(35),"/exKotar/677187"),"משנה ברורה &lt;עוז והדר&gt; - 6 כרכים")</f>
        <v>משנה ברורה &lt;עוז והדר&gt; - 6 כרכים</v>
      </c>
      <c r="H111" t="str">
        <f>_xlfn.CONCAT("https://tablet.otzar.org/",CHAR(35),"/exKotar/677187")</f>
        <v>https://tablet.otzar.org/#/exKotar/677187</v>
      </c>
    </row>
    <row r="112" spans="1:8" x14ac:dyDescent="0.25">
      <c r="A112">
        <v>602164</v>
      </c>
      <c r="B112" t="s">
        <v>212</v>
      </c>
      <c r="C112" t="s">
        <v>213</v>
      </c>
      <c r="D112" t="s">
        <v>14</v>
      </c>
      <c r="E112" t="s">
        <v>15</v>
      </c>
      <c r="F112" t="s">
        <v>155</v>
      </c>
      <c r="G112" t="str">
        <f>HYPERLINK(_xlfn.CONCAT("https://tablet.otzar.org/",CHAR(35),"/exKotar/602164"),"משנה ברורה המבואר - 24 כרכים")</f>
        <v>משנה ברורה המבואר - 24 כרכים</v>
      </c>
      <c r="H112" t="str">
        <f>_xlfn.CONCAT("https://tablet.otzar.org/",CHAR(35),"/exKotar/602164")</f>
        <v>https://tablet.otzar.org/#/exKotar/602164</v>
      </c>
    </row>
    <row r="113" spans="1:8" x14ac:dyDescent="0.25">
      <c r="A113">
        <v>677528</v>
      </c>
      <c r="B113" t="s">
        <v>214</v>
      </c>
      <c r="C113" t="s">
        <v>215</v>
      </c>
      <c r="D113" t="s">
        <v>14</v>
      </c>
      <c r="E113" t="s">
        <v>31</v>
      </c>
      <c r="F113" t="s">
        <v>32</v>
      </c>
      <c r="G113" t="str">
        <f>HYPERLINK(_xlfn.CONCAT("https://tablet.otzar.org/",CHAR(35),"/book/677528/p/-1/t/1/fs/0/start/0/end/0/c"),"משנה ברורה הקצר - הלכות שבת")</f>
        <v>משנה ברורה הקצר - הלכות שבת</v>
      </c>
      <c r="H113" t="str">
        <f>_xlfn.CONCAT("https://tablet.otzar.org/",CHAR(35),"/book/677528/p/-1/t/1/fs/0/start/0/end/0/c")</f>
        <v>https://tablet.otzar.org/#/book/677528/p/-1/t/1/fs/0/start/0/end/0/c</v>
      </c>
    </row>
    <row r="114" spans="1:8" x14ac:dyDescent="0.25">
      <c r="A114">
        <v>602351</v>
      </c>
      <c r="B114" t="s">
        <v>216</v>
      </c>
      <c r="C114" t="s">
        <v>211</v>
      </c>
      <c r="D114" t="s">
        <v>14</v>
      </c>
      <c r="E114" t="s">
        <v>15</v>
      </c>
      <c r="F114" t="s">
        <v>155</v>
      </c>
      <c r="G114" t="str">
        <f>HYPERLINK(_xlfn.CONCAT("https://tablet.otzar.org/",CHAR(35),"/exKotar/602351"),"משנה ברורה מנוקד &lt;עוז והדר&gt;  - 6 כרכים")</f>
        <v>משנה ברורה מנוקד &lt;עוז והדר&gt;  - 6 כרכים</v>
      </c>
      <c r="H114" t="str">
        <f>_xlfn.CONCAT("https://tablet.otzar.org/",CHAR(35),"/exKotar/602351")</f>
        <v>https://tablet.otzar.org/#/exKotar/602351</v>
      </c>
    </row>
    <row r="115" spans="1:8" x14ac:dyDescent="0.25">
      <c r="A115">
        <v>674845</v>
      </c>
      <c r="B115" t="s">
        <v>217</v>
      </c>
      <c r="C115" t="s">
        <v>218</v>
      </c>
      <c r="D115" t="s">
        <v>14</v>
      </c>
      <c r="E115" t="s">
        <v>41</v>
      </c>
      <c r="F115" t="s">
        <v>11</v>
      </c>
      <c r="G115" t="str">
        <f>HYPERLINK(_xlfn.CONCAT("https://tablet.otzar.org/",CHAR(35),"/exKotar/674845"),"משניות &lt;עוז והדר&gt; - 15 כרכים")</f>
        <v>משניות &lt;עוז והדר&gt; - 15 כרכים</v>
      </c>
      <c r="H115" t="str">
        <f>_xlfn.CONCAT("https://tablet.otzar.org/",CHAR(35),"/exKotar/674845")</f>
        <v>https://tablet.otzar.org/#/exKotar/674845</v>
      </c>
    </row>
    <row r="116" spans="1:8" x14ac:dyDescent="0.25">
      <c r="A116">
        <v>677065</v>
      </c>
      <c r="B116" t="s">
        <v>219</v>
      </c>
      <c r="C116" t="s">
        <v>218</v>
      </c>
      <c r="D116" t="s">
        <v>14</v>
      </c>
      <c r="E116" t="s">
        <v>163</v>
      </c>
      <c r="F116" t="s">
        <v>11</v>
      </c>
      <c r="G116" t="str">
        <f>HYPERLINK(_xlfn.CONCAT("https://tablet.otzar.org/",CHAR(35),"/exKotar/677065"),"משניות לתלמידים - 5 כרכים")</f>
        <v>משניות לתלמידים - 5 כרכים</v>
      </c>
      <c r="H116" t="str">
        <f>_xlfn.CONCAT("https://tablet.otzar.org/",CHAR(35),"/exKotar/677065")</f>
        <v>https://tablet.otzar.org/#/exKotar/677065</v>
      </c>
    </row>
    <row r="117" spans="1:8" x14ac:dyDescent="0.25">
      <c r="A117">
        <v>677529</v>
      </c>
      <c r="B117" t="s">
        <v>220</v>
      </c>
      <c r="C117" t="s">
        <v>21</v>
      </c>
      <c r="D117" t="s">
        <v>14</v>
      </c>
      <c r="E117" t="s">
        <v>41</v>
      </c>
      <c r="F117" t="s">
        <v>11</v>
      </c>
      <c r="G117" t="str">
        <f>HYPERLINK(_xlfn.CONCAT("https://tablet.otzar.org/",CHAR(35),"/exKotar/677529"),"משניות מבוארות &lt;מתיבתא&gt; - 5 כרכים")</f>
        <v>משניות מבוארות &lt;מתיבתא&gt; - 5 כרכים</v>
      </c>
      <c r="H117" t="str">
        <f>_xlfn.CONCAT("https://tablet.otzar.org/",CHAR(35),"/exKotar/677529")</f>
        <v>https://tablet.otzar.org/#/exKotar/677529</v>
      </c>
    </row>
    <row r="118" spans="1:8" x14ac:dyDescent="0.25">
      <c r="A118">
        <v>602313</v>
      </c>
      <c r="B118" t="s">
        <v>221</v>
      </c>
      <c r="C118" t="s">
        <v>21</v>
      </c>
      <c r="D118" t="s">
        <v>14</v>
      </c>
      <c r="E118" t="s">
        <v>222</v>
      </c>
      <c r="G118" t="str">
        <f>HYPERLINK(_xlfn.CONCAT("https://tablet.otzar.org/",CHAR(35),"/exKotar/602313"),"משנת המועדים - 18 כרכים")</f>
        <v>משנת המועדים - 18 כרכים</v>
      </c>
      <c r="H118" t="str">
        <f>_xlfn.CONCAT("https://tablet.otzar.org/",CHAR(35),"/exKotar/602313")</f>
        <v>https://tablet.otzar.org/#/exKotar/602313</v>
      </c>
    </row>
    <row r="119" spans="1:8" x14ac:dyDescent="0.25">
      <c r="A119">
        <v>601757</v>
      </c>
      <c r="B119" t="s">
        <v>223</v>
      </c>
      <c r="C119" t="s">
        <v>224</v>
      </c>
      <c r="D119" t="s">
        <v>14</v>
      </c>
      <c r="E119" t="s">
        <v>31</v>
      </c>
      <c r="F119" t="s">
        <v>42</v>
      </c>
      <c r="G119" t="str">
        <f>HYPERLINK(_xlfn.CONCAT("https://tablet.otzar.org/",CHAR(35),"/exKotar/601757"),"מתיבתא (א) ברכות - 9 כרכים")</f>
        <v>מתיבתא (א) ברכות - 9 כרכים</v>
      </c>
      <c r="H119" t="str">
        <f>_xlfn.CONCAT("https://tablet.otzar.org/",CHAR(35),"/exKotar/601757")</f>
        <v>https://tablet.otzar.org/#/exKotar/601757</v>
      </c>
    </row>
    <row r="120" spans="1:8" x14ac:dyDescent="0.25">
      <c r="A120">
        <v>601769</v>
      </c>
      <c r="B120" t="s">
        <v>225</v>
      </c>
      <c r="C120" t="s">
        <v>224</v>
      </c>
      <c r="D120" t="s">
        <v>14</v>
      </c>
      <c r="E120" t="s">
        <v>31</v>
      </c>
      <c r="F120" t="s">
        <v>42</v>
      </c>
      <c r="G120" t="str">
        <f>HYPERLINK(_xlfn.CONCAT("https://tablet.otzar.org/",CHAR(35),"/exKotar/601769"),"מתיבתא (ב) שבת - 9 כרכים")</f>
        <v>מתיבתא (ב) שבת - 9 כרכים</v>
      </c>
      <c r="H120" t="str">
        <f>_xlfn.CONCAT("https://tablet.otzar.org/",CHAR(35),"/exKotar/601769")</f>
        <v>https://tablet.otzar.org/#/exKotar/601769</v>
      </c>
    </row>
    <row r="121" spans="1:8" x14ac:dyDescent="0.25">
      <c r="A121">
        <v>601777</v>
      </c>
      <c r="B121" t="s">
        <v>226</v>
      </c>
      <c r="C121" t="s">
        <v>224</v>
      </c>
      <c r="D121" t="s">
        <v>14</v>
      </c>
      <c r="E121" t="s">
        <v>31</v>
      </c>
      <c r="F121" t="s">
        <v>42</v>
      </c>
      <c r="G121" t="str">
        <f>HYPERLINK(_xlfn.CONCAT("https://tablet.otzar.org/",CHAR(35),"/exKotar/601777"),"מתיבתא (ג) עירובין - 9 כרכים")</f>
        <v>מתיבתא (ג) עירובין - 9 כרכים</v>
      </c>
      <c r="H121" t="str">
        <f>_xlfn.CONCAT("https://tablet.otzar.org/",CHAR(35),"/exKotar/601777")</f>
        <v>https://tablet.otzar.org/#/exKotar/601777</v>
      </c>
    </row>
    <row r="122" spans="1:8" x14ac:dyDescent="0.25">
      <c r="A122">
        <v>601788</v>
      </c>
      <c r="B122" t="s">
        <v>227</v>
      </c>
      <c r="C122" t="s">
        <v>224</v>
      </c>
      <c r="D122" t="s">
        <v>14</v>
      </c>
      <c r="E122" t="s">
        <v>31</v>
      </c>
      <c r="F122" t="s">
        <v>42</v>
      </c>
      <c r="G122" t="str">
        <f>HYPERLINK(_xlfn.CONCAT("https://tablet.otzar.org/",CHAR(35),"/exKotar/601788"),"מתיבתא (ד) פסחים - 10 כרכים")</f>
        <v>מתיבתא (ד) פסחים - 10 כרכים</v>
      </c>
      <c r="H122" t="str">
        <f>_xlfn.CONCAT("https://tablet.otzar.org/",CHAR(35),"/exKotar/601788")</f>
        <v>https://tablet.otzar.org/#/exKotar/601788</v>
      </c>
    </row>
    <row r="123" spans="1:8" x14ac:dyDescent="0.25">
      <c r="A123">
        <v>601793</v>
      </c>
      <c r="B123" t="s">
        <v>228</v>
      </c>
      <c r="C123" t="s">
        <v>224</v>
      </c>
      <c r="D123" t="s">
        <v>14</v>
      </c>
      <c r="E123" t="s">
        <v>31</v>
      </c>
      <c r="F123" t="s">
        <v>229</v>
      </c>
      <c r="G123" t="str">
        <f>HYPERLINK(_xlfn.CONCAT("https://tablet.otzar.org/",CHAR(35),"/exKotar/601793"),"מתיבתא (ה) שקלים - 5 כרכים")</f>
        <v>מתיבתא (ה) שקלים - 5 כרכים</v>
      </c>
      <c r="H123" t="str">
        <f>_xlfn.CONCAT("https://tablet.otzar.org/",CHAR(35),"/exKotar/601793")</f>
        <v>https://tablet.otzar.org/#/exKotar/601793</v>
      </c>
    </row>
    <row r="124" spans="1:8" x14ac:dyDescent="0.25">
      <c r="A124">
        <v>601802</v>
      </c>
      <c r="B124" t="s">
        <v>230</v>
      </c>
      <c r="C124" t="s">
        <v>224</v>
      </c>
      <c r="D124" t="s">
        <v>14</v>
      </c>
      <c r="E124" t="s">
        <v>31</v>
      </c>
      <c r="F124" t="s">
        <v>42</v>
      </c>
      <c r="G124" t="str">
        <f>HYPERLINK(_xlfn.CONCAT("https://tablet.otzar.org/",CHAR(35),"/exKotar/601802"),"מתיבתא (ו) יומא - 8 כרכים")</f>
        <v>מתיבתא (ו) יומא - 8 כרכים</v>
      </c>
      <c r="H124" t="str">
        <f>_xlfn.CONCAT("https://tablet.otzar.org/",CHAR(35),"/exKotar/601802")</f>
        <v>https://tablet.otzar.org/#/exKotar/601802</v>
      </c>
    </row>
    <row r="125" spans="1:8" x14ac:dyDescent="0.25">
      <c r="A125">
        <v>601737</v>
      </c>
      <c r="B125" t="s">
        <v>231</v>
      </c>
      <c r="C125" t="s">
        <v>224</v>
      </c>
      <c r="D125" t="s">
        <v>14</v>
      </c>
      <c r="E125" t="s">
        <v>31</v>
      </c>
      <c r="F125" t="s">
        <v>42</v>
      </c>
      <c r="G125" t="str">
        <f>HYPERLINK(_xlfn.CONCAT("https://tablet.otzar.org/",CHAR(35),"/exKotar/601737"),"מתיבתא (ז) סוכה - 8 כרכים")</f>
        <v>מתיבתא (ז) סוכה - 8 כרכים</v>
      </c>
      <c r="H125" t="str">
        <f>_xlfn.CONCAT("https://tablet.otzar.org/",CHAR(35),"/exKotar/601737")</f>
        <v>https://tablet.otzar.org/#/exKotar/601737</v>
      </c>
    </row>
    <row r="126" spans="1:8" x14ac:dyDescent="0.25">
      <c r="A126">
        <v>601750</v>
      </c>
      <c r="B126" t="s">
        <v>232</v>
      </c>
      <c r="C126" t="s">
        <v>224</v>
      </c>
      <c r="D126" t="s">
        <v>14</v>
      </c>
      <c r="E126" t="s">
        <v>31</v>
      </c>
      <c r="F126" t="s">
        <v>42</v>
      </c>
      <c r="G126" t="str">
        <f>HYPERLINK(_xlfn.CONCAT("https://tablet.otzar.org/",CHAR(35),"/exKotar/601750"),"מתיבתא (ח) ביצה - 9 כרכים")</f>
        <v>מתיבתא (ח) ביצה - 9 כרכים</v>
      </c>
      <c r="H126" t="str">
        <f>_xlfn.CONCAT("https://tablet.otzar.org/",CHAR(35),"/exKotar/601750")</f>
        <v>https://tablet.otzar.org/#/exKotar/601750</v>
      </c>
    </row>
    <row r="127" spans="1:8" x14ac:dyDescent="0.25">
      <c r="A127">
        <v>601726</v>
      </c>
      <c r="B127" t="s">
        <v>233</v>
      </c>
      <c r="C127" t="s">
        <v>224</v>
      </c>
      <c r="D127" t="s">
        <v>14</v>
      </c>
      <c r="E127" t="s">
        <v>31</v>
      </c>
      <c r="F127" t="s">
        <v>42</v>
      </c>
      <c r="G127" t="str">
        <f>HYPERLINK(_xlfn.CONCAT("https://tablet.otzar.org/",CHAR(35),"/exKotar/601726"),"מתיבתא (ט) ראש השנה - 9 כרכים")</f>
        <v>מתיבתא (ט) ראש השנה - 9 כרכים</v>
      </c>
      <c r="H127" t="str">
        <f>_xlfn.CONCAT("https://tablet.otzar.org/",CHAR(35),"/exKotar/601726")</f>
        <v>https://tablet.otzar.org/#/exKotar/601726</v>
      </c>
    </row>
    <row r="128" spans="1:8" x14ac:dyDescent="0.25">
      <c r="A128">
        <v>601818</v>
      </c>
      <c r="B128" t="s">
        <v>234</v>
      </c>
      <c r="C128" t="s">
        <v>224</v>
      </c>
      <c r="D128" t="s">
        <v>14</v>
      </c>
      <c r="E128" t="s">
        <v>31</v>
      </c>
      <c r="F128" t="s">
        <v>42</v>
      </c>
      <c r="G128" t="str">
        <f>HYPERLINK(_xlfn.CONCAT("https://tablet.otzar.org/",CHAR(35),"/exKotar/601818"),"מתיבתא (טו) כתובות - 9 כרכים")</f>
        <v>מתיבתא (טו) כתובות - 9 כרכים</v>
      </c>
      <c r="H128" t="str">
        <f>_xlfn.CONCAT("https://tablet.otzar.org/",CHAR(35),"/exKotar/601818")</f>
        <v>https://tablet.otzar.org/#/exKotar/601818</v>
      </c>
    </row>
    <row r="129" spans="1:8" x14ac:dyDescent="0.25">
      <c r="A129">
        <v>601827</v>
      </c>
      <c r="B129" t="s">
        <v>235</v>
      </c>
      <c r="C129" t="s">
        <v>224</v>
      </c>
      <c r="D129" t="s">
        <v>14</v>
      </c>
      <c r="E129" t="s">
        <v>31</v>
      </c>
      <c r="F129" t="s">
        <v>42</v>
      </c>
      <c r="G129" t="str">
        <f>HYPERLINK(_xlfn.CONCAT("https://tablet.otzar.org/",CHAR(35),"/exKotar/601827"),"מתיבתא (טז) נדרים - 10 כרכים")</f>
        <v>מתיבתא (טז) נדרים - 10 כרכים</v>
      </c>
      <c r="H129" t="str">
        <f>_xlfn.CONCAT("https://tablet.otzar.org/",CHAR(35),"/exKotar/601827")</f>
        <v>https://tablet.otzar.org/#/exKotar/601827</v>
      </c>
    </row>
    <row r="130" spans="1:8" x14ac:dyDescent="0.25">
      <c r="A130">
        <v>601720</v>
      </c>
      <c r="B130" t="s">
        <v>236</v>
      </c>
      <c r="C130" t="s">
        <v>224</v>
      </c>
      <c r="D130" t="s">
        <v>14</v>
      </c>
      <c r="E130" t="s">
        <v>31</v>
      </c>
      <c r="F130" t="s">
        <v>42</v>
      </c>
      <c r="G130" t="str">
        <f>HYPERLINK(_xlfn.CONCAT("https://tablet.otzar.org/",CHAR(35),"/exKotar/601720"),"מתיבתא (י) תענית - 9 כרכים")</f>
        <v>מתיבתא (י) תענית - 9 כרכים</v>
      </c>
      <c r="H130" t="str">
        <f>_xlfn.CONCAT("https://tablet.otzar.org/",CHAR(35),"/exKotar/601720")</f>
        <v>https://tablet.otzar.org/#/exKotar/601720</v>
      </c>
    </row>
    <row r="131" spans="1:8" x14ac:dyDescent="0.25">
      <c r="A131">
        <v>601703</v>
      </c>
      <c r="B131" t="s">
        <v>237</v>
      </c>
      <c r="C131" t="s">
        <v>224</v>
      </c>
      <c r="D131" t="s">
        <v>14</v>
      </c>
      <c r="E131" t="s">
        <v>31</v>
      </c>
      <c r="F131" t="s">
        <v>42</v>
      </c>
      <c r="G131" t="str">
        <f>HYPERLINK(_xlfn.CONCAT("https://tablet.otzar.org/",CHAR(35),"/exKotar/601703"),"מתיבתא (יא) מגילה - 9 כרכים")</f>
        <v>מתיבתא (יא) מגילה - 9 כרכים</v>
      </c>
      <c r="H131" t="str">
        <f>_xlfn.CONCAT("https://tablet.otzar.org/",CHAR(35),"/exKotar/601703")</f>
        <v>https://tablet.otzar.org/#/exKotar/601703</v>
      </c>
    </row>
    <row r="132" spans="1:8" x14ac:dyDescent="0.25">
      <c r="A132">
        <v>601694</v>
      </c>
      <c r="B132" t="s">
        <v>238</v>
      </c>
      <c r="C132" t="s">
        <v>224</v>
      </c>
      <c r="D132" t="s">
        <v>14</v>
      </c>
      <c r="E132" t="s">
        <v>31</v>
      </c>
      <c r="F132" t="s">
        <v>42</v>
      </c>
      <c r="G132" t="str">
        <f>HYPERLINK(_xlfn.CONCAT("https://tablet.otzar.org/",CHAR(35),"/exKotar/601694"),"מתיבתא (יב) מועד קטן - 9 כרכים")</f>
        <v>מתיבתא (יב) מועד קטן - 9 כרכים</v>
      </c>
      <c r="H132" t="str">
        <f>_xlfn.CONCAT("https://tablet.otzar.org/",CHAR(35),"/exKotar/601694")</f>
        <v>https://tablet.otzar.org/#/exKotar/601694</v>
      </c>
    </row>
    <row r="133" spans="1:8" x14ac:dyDescent="0.25">
      <c r="A133">
        <v>601685</v>
      </c>
      <c r="B133" t="s">
        <v>239</v>
      </c>
      <c r="C133" t="s">
        <v>224</v>
      </c>
      <c r="D133" t="s">
        <v>14</v>
      </c>
      <c r="E133" t="s">
        <v>31</v>
      </c>
      <c r="F133" t="s">
        <v>42</v>
      </c>
      <c r="G133" t="str">
        <f>HYPERLINK(_xlfn.CONCAT("https://tablet.otzar.org/",CHAR(35),"/exKotar/601685"),"מתיבתא (יג) חגיגה - 9 כרכים")</f>
        <v>מתיבתא (יג) חגיגה - 9 כרכים</v>
      </c>
      <c r="H133" t="str">
        <f>_xlfn.CONCAT("https://tablet.otzar.org/",CHAR(35),"/exKotar/601685")</f>
        <v>https://tablet.otzar.org/#/exKotar/601685</v>
      </c>
    </row>
    <row r="134" spans="1:8" x14ac:dyDescent="0.25">
      <c r="A134">
        <v>601810</v>
      </c>
      <c r="B134" t="s">
        <v>240</v>
      </c>
      <c r="C134" t="s">
        <v>224</v>
      </c>
      <c r="D134" t="s">
        <v>14</v>
      </c>
      <c r="E134" t="s">
        <v>31</v>
      </c>
      <c r="F134" t="s">
        <v>42</v>
      </c>
      <c r="G134" t="str">
        <f>HYPERLINK(_xlfn.CONCAT("https://tablet.otzar.org/",CHAR(35),"/exKotar/601810"),"מתיבתא (יד) יבמות - 12 כרכים")</f>
        <v>מתיבתא (יד) יבמות - 12 כרכים</v>
      </c>
      <c r="H134" t="str">
        <f>_xlfn.CONCAT("https://tablet.otzar.org/",CHAR(35),"/exKotar/601810")</f>
        <v>https://tablet.otzar.org/#/exKotar/601810</v>
      </c>
    </row>
    <row r="135" spans="1:8" x14ac:dyDescent="0.25">
      <c r="A135">
        <v>601836</v>
      </c>
      <c r="B135" t="s">
        <v>241</v>
      </c>
      <c r="C135" t="s">
        <v>224</v>
      </c>
      <c r="D135" t="s">
        <v>14</v>
      </c>
      <c r="E135" t="s">
        <v>31</v>
      </c>
      <c r="F135" t="s">
        <v>42</v>
      </c>
      <c r="G135" t="str">
        <f>HYPERLINK(_xlfn.CONCAT("https://tablet.otzar.org/",CHAR(35),"/exKotar/601836"),"מתיבתא (יז) נזיר - 9 כרכים")</f>
        <v>מתיבתא (יז) נזיר - 9 כרכים</v>
      </c>
      <c r="H135" t="str">
        <f>_xlfn.CONCAT("https://tablet.otzar.org/",CHAR(35),"/exKotar/601836")</f>
        <v>https://tablet.otzar.org/#/exKotar/601836</v>
      </c>
    </row>
    <row r="136" spans="1:8" x14ac:dyDescent="0.25">
      <c r="A136">
        <v>601845</v>
      </c>
      <c r="B136" t="s">
        <v>242</v>
      </c>
      <c r="C136" t="s">
        <v>224</v>
      </c>
      <c r="D136" t="s">
        <v>14</v>
      </c>
      <c r="E136" t="s">
        <v>31</v>
      </c>
      <c r="F136" t="s">
        <v>42</v>
      </c>
      <c r="G136" t="str">
        <f>HYPERLINK(_xlfn.CONCAT("https://tablet.otzar.org/",CHAR(35),"/exKotar/601845"),"מתיבתא (יח) סוטה - 10 כרכים")</f>
        <v>מתיבתא (יח) סוטה - 10 כרכים</v>
      </c>
      <c r="H136" t="str">
        <f>_xlfn.CONCAT("https://tablet.otzar.org/",CHAR(35),"/exKotar/601845")</f>
        <v>https://tablet.otzar.org/#/exKotar/601845</v>
      </c>
    </row>
    <row r="137" spans="1:8" x14ac:dyDescent="0.25">
      <c r="A137">
        <v>601855</v>
      </c>
      <c r="B137" t="s">
        <v>243</v>
      </c>
      <c r="C137" t="s">
        <v>224</v>
      </c>
      <c r="D137" t="s">
        <v>14</v>
      </c>
      <c r="E137" t="s">
        <v>31</v>
      </c>
      <c r="F137" t="s">
        <v>42</v>
      </c>
      <c r="G137" t="str">
        <f>HYPERLINK(_xlfn.CONCAT("https://tablet.otzar.org/",CHAR(35),"/exKotar/601855"),"מתיבתא (יט) גיטין - 9 כרכים")</f>
        <v>מתיבתא (יט) גיטין - 9 כרכים</v>
      </c>
      <c r="H137" t="str">
        <f>_xlfn.CONCAT("https://tablet.otzar.org/",CHAR(35),"/exKotar/601855")</f>
        <v>https://tablet.otzar.org/#/exKotar/601855</v>
      </c>
    </row>
    <row r="138" spans="1:8" x14ac:dyDescent="0.25">
      <c r="A138">
        <v>601864</v>
      </c>
      <c r="B138" t="s">
        <v>244</v>
      </c>
      <c r="C138" t="s">
        <v>224</v>
      </c>
      <c r="D138" t="s">
        <v>14</v>
      </c>
      <c r="E138" t="s">
        <v>31</v>
      </c>
      <c r="F138" t="s">
        <v>42</v>
      </c>
      <c r="G138" t="str">
        <f>HYPERLINK(_xlfn.CONCAT("https://tablet.otzar.org/",CHAR(35),"/exKotar/601864"),"מתיבתא (כ) קידושין - 9 כרכים")</f>
        <v>מתיבתא (כ) קידושין - 9 כרכים</v>
      </c>
      <c r="H138" t="str">
        <f>_xlfn.CONCAT("https://tablet.otzar.org/",CHAR(35),"/exKotar/601864")</f>
        <v>https://tablet.otzar.org/#/exKotar/601864</v>
      </c>
    </row>
    <row r="139" spans="1:8" x14ac:dyDescent="0.25">
      <c r="A139">
        <v>601873</v>
      </c>
      <c r="B139" t="s">
        <v>245</v>
      </c>
      <c r="C139" t="s">
        <v>224</v>
      </c>
      <c r="D139" t="s">
        <v>14</v>
      </c>
      <c r="E139" t="s">
        <v>31</v>
      </c>
      <c r="F139" t="s">
        <v>42</v>
      </c>
      <c r="G139" t="str">
        <f>HYPERLINK(_xlfn.CONCAT("https://tablet.otzar.org/",CHAR(35),"/exKotar/601873"),"מתיבתא (כא) בבא קמא - 9 כרכים")</f>
        <v>מתיבתא (כא) בבא קמא - 9 כרכים</v>
      </c>
      <c r="H139" t="str">
        <f>_xlfn.CONCAT("https://tablet.otzar.org/",CHAR(35),"/exKotar/601873")</f>
        <v>https://tablet.otzar.org/#/exKotar/601873</v>
      </c>
    </row>
    <row r="140" spans="1:8" x14ac:dyDescent="0.25">
      <c r="A140">
        <v>601882</v>
      </c>
      <c r="B140" t="s">
        <v>246</v>
      </c>
      <c r="C140" t="s">
        <v>224</v>
      </c>
      <c r="D140" t="s">
        <v>14</v>
      </c>
      <c r="E140" t="s">
        <v>31</v>
      </c>
      <c r="F140" t="s">
        <v>42</v>
      </c>
      <c r="G140" t="str">
        <f>HYPERLINK(_xlfn.CONCAT("https://tablet.otzar.org/",CHAR(35),"/exKotar/601882"),"מתיבתא (כב) בבא מציעא - 9 כרכים")</f>
        <v>מתיבתא (כב) בבא מציעא - 9 כרכים</v>
      </c>
      <c r="H140" t="str">
        <f>_xlfn.CONCAT("https://tablet.otzar.org/",CHAR(35),"/exKotar/601882")</f>
        <v>https://tablet.otzar.org/#/exKotar/601882</v>
      </c>
    </row>
    <row r="141" spans="1:8" x14ac:dyDescent="0.25">
      <c r="A141">
        <v>601890</v>
      </c>
      <c r="B141" t="s">
        <v>247</v>
      </c>
      <c r="C141" t="s">
        <v>224</v>
      </c>
      <c r="D141" t="s">
        <v>14</v>
      </c>
      <c r="E141" t="s">
        <v>31</v>
      </c>
      <c r="F141" t="s">
        <v>42</v>
      </c>
      <c r="G141" t="str">
        <f>HYPERLINK(_xlfn.CONCAT("https://tablet.otzar.org/",CHAR(35),"/exKotar/601890"),"מתיבתא (כג) בבא בתרא - 9 כרכים")</f>
        <v>מתיבתא (כג) בבא בתרא - 9 כרכים</v>
      </c>
      <c r="H141" t="str">
        <f>_xlfn.CONCAT("https://tablet.otzar.org/",CHAR(35),"/exKotar/601890")</f>
        <v>https://tablet.otzar.org/#/exKotar/601890</v>
      </c>
    </row>
    <row r="142" spans="1:8" x14ac:dyDescent="0.25">
      <c r="A142">
        <v>601899</v>
      </c>
      <c r="B142" t="s">
        <v>248</v>
      </c>
      <c r="C142" t="s">
        <v>224</v>
      </c>
      <c r="D142" t="s">
        <v>14</v>
      </c>
      <c r="E142" t="s">
        <v>31</v>
      </c>
      <c r="F142" t="s">
        <v>42</v>
      </c>
      <c r="G142" t="str">
        <f>HYPERLINK(_xlfn.CONCAT("https://tablet.otzar.org/",CHAR(35),"/exKotar/601899"),"מתיבתא (כד) סנהדרין - 8 כרכים")</f>
        <v>מתיבתא (כד) סנהדרין - 8 כרכים</v>
      </c>
      <c r="H142" t="str">
        <f>_xlfn.CONCAT("https://tablet.otzar.org/",CHAR(35),"/exKotar/601899")</f>
        <v>https://tablet.otzar.org/#/exKotar/601899</v>
      </c>
    </row>
    <row r="143" spans="1:8" x14ac:dyDescent="0.25">
      <c r="A143">
        <v>601908</v>
      </c>
      <c r="B143" t="s">
        <v>249</v>
      </c>
      <c r="C143" t="s">
        <v>224</v>
      </c>
      <c r="D143" t="s">
        <v>14</v>
      </c>
      <c r="E143" t="s">
        <v>31</v>
      </c>
      <c r="F143" t="s">
        <v>42</v>
      </c>
      <c r="G143" t="str">
        <f>HYPERLINK(_xlfn.CONCAT("https://tablet.otzar.org/",CHAR(35),"/exKotar/601908"),"מתיבתא (כה) מכות - 9 כרכים")</f>
        <v>מתיבתא (כה) מכות - 9 כרכים</v>
      </c>
      <c r="H143" t="str">
        <f>_xlfn.CONCAT("https://tablet.otzar.org/",CHAR(35),"/exKotar/601908")</f>
        <v>https://tablet.otzar.org/#/exKotar/601908</v>
      </c>
    </row>
    <row r="144" spans="1:8" x14ac:dyDescent="0.25">
      <c r="A144">
        <v>601917</v>
      </c>
      <c r="B144" t="s">
        <v>250</v>
      </c>
      <c r="C144" t="s">
        <v>224</v>
      </c>
      <c r="D144" t="s">
        <v>14</v>
      </c>
      <c r="E144" t="s">
        <v>31</v>
      </c>
      <c r="F144" t="s">
        <v>42</v>
      </c>
      <c r="G144" t="str">
        <f>HYPERLINK(_xlfn.CONCAT("https://tablet.otzar.org/",CHAR(35),"/exKotar/601917"),"מתיבתא (כו) שבועות - 9 כרכים")</f>
        <v>מתיבתא (כו) שבועות - 9 כרכים</v>
      </c>
      <c r="H144" t="str">
        <f>_xlfn.CONCAT("https://tablet.otzar.org/",CHAR(35),"/exKotar/601917")</f>
        <v>https://tablet.otzar.org/#/exKotar/601917</v>
      </c>
    </row>
    <row r="145" spans="1:8" x14ac:dyDescent="0.25">
      <c r="A145">
        <v>601926</v>
      </c>
      <c r="B145" t="s">
        <v>251</v>
      </c>
      <c r="C145" t="s">
        <v>224</v>
      </c>
      <c r="D145" t="s">
        <v>14</v>
      </c>
      <c r="E145" t="s">
        <v>31</v>
      </c>
      <c r="F145" t="s">
        <v>42</v>
      </c>
      <c r="G145" t="str">
        <f>HYPERLINK(_xlfn.CONCAT("https://tablet.otzar.org/",CHAR(35),"/exKotar/601926"),"מתיבתא (כז) עבודה זרה - 9 כרכים")</f>
        <v>מתיבתא (כז) עבודה זרה - 9 כרכים</v>
      </c>
      <c r="H145" t="str">
        <f>_xlfn.CONCAT("https://tablet.otzar.org/",CHAR(35),"/exKotar/601926")</f>
        <v>https://tablet.otzar.org/#/exKotar/601926</v>
      </c>
    </row>
    <row r="146" spans="1:8" x14ac:dyDescent="0.25">
      <c r="A146">
        <v>601935</v>
      </c>
      <c r="B146" t="s">
        <v>252</v>
      </c>
      <c r="C146" t="s">
        <v>224</v>
      </c>
      <c r="D146" t="s">
        <v>14</v>
      </c>
      <c r="E146" t="s">
        <v>31</v>
      </c>
      <c r="F146" t="s">
        <v>42</v>
      </c>
      <c r="G146" t="str">
        <f>HYPERLINK(_xlfn.CONCAT("https://tablet.otzar.org/",CHAR(35),"/exKotar/601935"),"מתיבתא (כח) הוריות - 9 כרכים")</f>
        <v>מתיבתא (כח) הוריות - 9 כרכים</v>
      </c>
      <c r="H146" t="str">
        <f>_xlfn.CONCAT("https://tablet.otzar.org/",CHAR(35),"/exKotar/601935")</f>
        <v>https://tablet.otzar.org/#/exKotar/601935</v>
      </c>
    </row>
    <row r="147" spans="1:8" x14ac:dyDescent="0.25">
      <c r="A147">
        <v>601944</v>
      </c>
      <c r="B147" t="s">
        <v>253</v>
      </c>
      <c r="C147" t="s">
        <v>224</v>
      </c>
      <c r="D147" t="s">
        <v>14</v>
      </c>
      <c r="E147" t="s">
        <v>31</v>
      </c>
      <c r="G147" t="str">
        <f>HYPERLINK(_xlfn.CONCAT("https://tablet.otzar.org/",CHAR(35),"/book/601944/p/-1/t/1/fs/0/start/0/end/0/c"),"מתיבתא (כט) עדיות - ביאור המשניות")</f>
        <v>מתיבתא (כט) עדיות - ביאור המשניות</v>
      </c>
      <c r="H147" t="str">
        <f>_xlfn.CONCAT("https://tablet.otzar.org/",CHAR(35),"/book/601944/p/-1/t/1/fs/0/start/0/end/0/c")</f>
        <v>https://tablet.otzar.org/#/book/601944/p/-1/t/1/fs/0/start/0/end/0/c</v>
      </c>
    </row>
    <row r="148" spans="1:8" x14ac:dyDescent="0.25">
      <c r="A148">
        <v>601945</v>
      </c>
      <c r="B148" t="s">
        <v>254</v>
      </c>
      <c r="C148" t="s">
        <v>224</v>
      </c>
      <c r="D148" t="s">
        <v>14</v>
      </c>
      <c r="E148" t="s">
        <v>31</v>
      </c>
      <c r="F148" t="s">
        <v>42</v>
      </c>
      <c r="G148" t="str">
        <f>HYPERLINK(_xlfn.CONCAT("https://tablet.otzar.org/",CHAR(35),"/exKotar/601945"),"מתיבתא (ל) זבחים - 9 כרכים")</f>
        <v>מתיבתא (ל) זבחים - 9 כרכים</v>
      </c>
      <c r="H148" t="str">
        <f>_xlfn.CONCAT("https://tablet.otzar.org/",CHAR(35),"/exKotar/601945")</f>
        <v>https://tablet.otzar.org/#/exKotar/601945</v>
      </c>
    </row>
    <row r="149" spans="1:8" x14ac:dyDescent="0.25">
      <c r="A149">
        <v>601954</v>
      </c>
      <c r="B149" t="s">
        <v>255</v>
      </c>
      <c r="C149" t="s">
        <v>224</v>
      </c>
      <c r="D149" t="s">
        <v>14</v>
      </c>
      <c r="E149" t="s">
        <v>31</v>
      </c>
      <c r="F149" t="s">
        <v>42</v>
      </c>
      <c r="G149" t="str">
        <f>HYPERLINK(_xlfn.CONCAT("https://tablet.otzar.org/",CHAR(35),"/exKotar/601954"),"מתיבתא (לא) מנחות - 9 כרכים")</f>
        <v>מתיבתא (לא) מנחות - 9 כרכים</v>
      </c>
      <c r="H149" t="str">
        <f>_xlfn.CONCAT("https://tablet.otzar.org/",CHAR(35),"/exKotar/601954")</f>
        <v>https://tablet.otzar.org/#/exKotar/601954</v>
      </c>
    </row>
    <row r="150" spans="1:8" x14ac:dyDescent="0.25">
      <c r="A150">
        <v>601963</v>
      </c>
      <c r="B150" t="s">
        <v>256</v>
      </c>
      <c r="C150" t="s">
        <v>224</v>
      </c>
      <c r="D150" t="s">
        <v>14</v>
      </c>
      <c r="E150" t="s">
        <v>31</v>
      </c>
      <c r="F150" t="s">
        <v>42</v>
      </c>
      <c r="G150" t="str">
        <f>HYPERLINK(_xlfn.CONCAT("https://tablet.otzar.org/",CHAR(35),"/exKotar/601963"),"מתיבתא (לב) חולין - 9 כרכים")</f>
        <v>מתיבתא (לב) חולין - 9 כרכים</v>
      </c>
      <c r="H150" t="str">
        <f>_xlfn.CONCAT("https://tablet.otzar.org/",CHAR(35),"/exKotar/601963")</f>
        <v>https://tablet.otzar.org/#/exKotar/601963</v>
      </c>
    </row>
    <row r="151" spans="1:8" x14ac:dyDescent="0.25">
      <c r="A151">
        <v>601972</v>
      </c>
      <c r="B151" t="s">
        <v>257</v>
      </c>
      <c r="C151" t="s">
        <v>224</v>
      </c>
      <c r="D151" t="s">
        <v>14</v>
      </c>
      <c r="E151" t="s">
        <v>31</v>
      </c>
      <c r="F151" t="s">
        <v>42</v>
      </c>
      <c r="G151" t="str">
        <f>HYPERLINK(_xlfn.CONCAT("https://tablet.otzar.org/",CHAR(35),"/exKotar/601972"),"מתיבתא (לג) בכורות - 9 כרכים")</f>
        <v>מתיבתא (לג) בכורות - 9 כרכים</v>
      </c>
      <c r="H151" t="str">
        <f>_xlfn.CONCAT("https://tablet.otzar.org/",CHAR(35),"/exKotar/601972")</f>
        <v>https://tablet.otzar.org/#/exKotar/601972</v>
      </c>
    </row>
    <row r="152" spans="1:8" x14ac:dyDescent="0.25">
      <c r="A152">
        <v>601981</v>
      </c>
      <c r="B152" t="s">
        <v>258</v>
      </c>
      <c r="C152" t="s">
        <v>224</v>
      </c>
      <c r="D152" t="s">
        <v>14</v>
      </c>
      <c r="E152" t="s">
        <v>31</v>
      </c>
      <c r="F152" t="s">
        <v>42</v>
      </c>
      <c r="G152" t="str">
        <f>HYPERLINK(_xlfn.CONCAT("https://tablet.otzar.org/",CHAR(35),"/exKotar/601981"),"מתיבתא (לד) ערכין - 9 כרכים")</f>
        <v>מתיבתא (לד) ערכין - 9 כרכים</v>
      </c>
      <c r="H152" t="str">
        <f>_xlfn.CONCAT("https://tablet.otzar.org/",CHAR(35),"/exKotar/601981")</f>
        <v>https://tablet.otzar.org/#/exKotar/601981</v>
      </c>
    </row>
    <row r="153" spans="1:8" x14ac:dyDescent="0.25">
      <c r="A153">
        <v>601990</v>
      </c>
      <c r="B153" t="s">
        <v>259</v>
      </c>
      <c r="C153" t="s">
        <v>224</v>
      </c>
      <c r="D153" t="s">
        <v>14</v>
      </c>
      <c r="E153" t="s">
        <v>31</v>
      </c>
      <c r="F153" t="s">
        <v>42</v>
      </c>
      <c r="G153" t="str">
        <f>HYPERLINK(_xlfn.CONCAT("https://tablet.otzar.org/",CHAR(35),"/exKotar/601990"),"מתיבתא (לה) תמורה - 9 כרכים")</f>
        <v>מתיבתא (לה) תמורה - 9 כרכים</v>
      </c>
      <c r="H153" t="str">
        <f>_xlfn.CONCAT("https://tablet.otzar.org/",CHAR(35),"/exKotar/601990")</f>
        <v>https://tablet.otzar.org/#/exKotar/601990</v>
      </c>
    </row>
    <row r="154" spans="1:8" x14ac:dyDescent="0.25">
      <c r="A154">
        <v>601999</v>
      </c>
      <c r="B154" t="s">
        <v>260</v>
      </c>
      <c r="C154" t="s">
        <v>224</v>
      </c>
      <c r="D154" t="s">
        <v>14</v>
      </c>
      <c r="E154" t="s">
        <v>31</v>
      </c>
      <c r="F154" t="s">
        <v>42</v>
      </c>
      <c r="G154" t="str">
        <f>HYPERLINK(_xlfn.CONCAT("https://tablet.otzar.org/",CHAR(35),"/exKotar/601999"),"מתיבתא (לו) כריתות - 9 כרכים")</f>
        <v>מתיבתא (לו) כריתות - 9 כרכים</v>
      </c>
      <c r="H154" t="str">
        <f>_xlfn.CONCAT("https://tablet.otzar.org/",CHAR(35),"/exKotar/601999")</f>
        <v>https://tablet.otzar.org/#/exKotar/601999</v>
      </c>
    </row>
    <row r="155" spans="1:8" x14ac:dyDescent="0.25">
      <c r="A155">
        <v>602008</v>
      </c>
      <c r="B155" t="s">
        <v>261</v>
      </c>
      <c r="C155" t="s">
        <v>224</v>
      </c>
      <c r="D155" t="s">
        <v>14</v>
      </c>
      <c r="E155" t="s">
        <v>31</v>
      </c>
      <c r="F155" t="s">
        <v>42</v>
      </c>
      <c r="G155" t="str">
        <f>HYPERLINK(_xlfn.CONCAT("https://tablet.otzar.org/",CHAR(35),"/exKotar/602008"),"מתיבתא (לז) מעילה - 9 כרכים")</f>
        <v>מתיבתא (לז) מעילה - 9 כרכים</v>
      </c>
      <c r="H155" t="str">
        <f>_xlfn.CONCAT("https://tablet.otzar.org/",CHAR(35),"/exKotar/602008")</f>
        <v>https://tablet.otzar.org/#/exKotar/602008</v>
      </c>
    </row>
    <row r="156" spans="1:8" x14ac:dyDescent="0.25">
      <c r="A156">
        <v>602016</v>
      </c>
      <c r="B156" t="s">
        <v>262</v>
      </c>
      <c r="C156" t="s">
        <v>224</v>
      </c>
      <c r="D156" t="s">
        <v>14</v>
      </c>
      <c r="E156" t="s">
        <v>31</v>
      </c>
      <c r="F156" t="s">
        <v>11</v>
      </c>
      <c r="G156" t="str">
        <f>HYPERLINK(_xlfn.CONCAT("https://tablet.otzar.org/",CHAR(35),"/exKotar/602016"),"מתיבתא (לח) קנים - 9 כרכים")</f>
        <v>מתיבתא (לח) קנים - 9 כרכים</v>
      </c>
      <c r="H156" t="str">
        <f>_xlfn.CONCAT("https://tablet.otzar.org/",CHAR(35),"/exKotar/602016")</f>
        <v>https://tablet.otzar.org/#/exKotar/602016</v>
      </c>
    </row>
    <row r="157" spans="1:8" x14ac:dyDescent="0.25">
      <c r="A157">
        <v>602025</v>
      </c>
      <c r="B157" t="s">
        <v>263</v>
      </c>
      <c r="C157" t="s">
        <v>224</v>
      </c>
      <c r="D157" t="s">
        <v>14</v>
      </c>
      <c r="E157" t="s">
        <v>31</v>
      </c>
      <c r="F157" t="s">
        <v>42</v>
      </c>
      <c r="G157" t="str">
        <f>HYPERLINK(_xlfn.CONCAT("https://tablet.otzar.org/",CHAR(35),"/exKotar/602025"),"מתיבתא (לט) תמיד - 8 כרכים")</f>
        <v>מתיבתא (לט) תמיד - 8 כרכים</v>
      </c>
      <c r="H157" t="str">
        <f>_xlfn.CONCAT("https://tablet.otzar.org/",CHAR(35),"/exKotar/602025")</f>
        <v>https://tablet.otzar.org/#/exKotar/602025</v>
      </c>
    </row>
    <row r="158" spans="1:8" x14ac:dyDescent="0.25">
      <c r="A158">
        <v>602034</v>
      </c>
      <c r="B158" t="s">
        <v>264</v>
      </c>
      <c r="C158" t="s">
        <v>224</v>
      </c>
      <c r="D158" t="s">
        <v>14</v>
      </c>
      <c r="E158" t="s">
        <v>31</v>
      </c>
      <c r="G158" t="str">
        <f>HYPERLINK(_xlfn.CONCAT("https://tablet.otzar.org/",CHAR(35),"/exKotar/602034"),"מתיבתא (מ) מדות - 7 כרכים")</f>
        <v>מתיבתא (מ) מדות - 7 כרכים</v>
      </c>
      <c r="H158" t="str">
        <f>_xlfn.CONCAT("https://tablet.otzar.org/",CHAR(35),"/exKotar/602034")</f>
        <v>https://tablet.otzar.org/#/exKotar/602034</v>
      </c>
    </row>
    <row r="159" spans="1:8" x14ac:dyDescent="0.25">
      <c r="A159">
        <v>602041</v>
      </c>
      <c r="B159" t="s">
        <v>265</v>
      </c>
      <c r="C159" t="s">
        <v>224</v>
      </c>
      <c r="D159" t="s">
        <v>14</v>
      </c>
      <c r="E159" t="s">
        <v>31</v>
      </c>
      <c r="F159" t="s">
        <v>42</v>
      </c>
      <c r="G159" t="str">
        <f>HYPERLINK(_xlfn.CONCAT("https://tablet.otzar.org/",CHAR(35),"/exKotar/602041"),"מתיבתא (מא) נדה - 9 כרכים")</f>
        <v>מתיבתא (מא) נדה - 9 כרכים</v>
      </c>
      <c r="H159" t="str">
        <f>_xlfn.CONCAT("https://tablet.otzar.org/",CHAR(35),"/exKotar/602041")</f>
        <v>https://tablet.otzar.org/#/exKotar/602041</v>
      </c>
    </row>
    <row r="160" spans="1:8" x14ac:dyDescent="0.25">
      <c r="A160">
        <v>677542</v>
      </c>
      <c r="B160" t="s">
        <v>266</v>
      </c>
      <c r="C160" t="s">
        <v>267</v>
      </c>
      <c r="D160" t="s">
        <v>14</v>
      </c>
      <c r="E160" t="s">
        <v>80</v>
      </c>
      <c r="F160" t="s">
        <v>24</v>
      </c>
      <c r="G160" t="str">
        <f>HYPERLINK(_xlfn.CONCAT("https://tablet.otzar.org/",CHAR(35),"/book/677542/p/-1/t/1/fs/0/start/0/end/0/c"),"נועם אלימלך &lt;עוז והדר&gt;")</f>
        <v>נועם אלימלך &lt;עוז והדר&gt;</v>
      </c>
      <c r="H160" t="str">
        <f>_xlfn.CONCAT("https://tablet.otzar.org/",CHAR(35),"/book/677542/p/-1/t/1/fs/0/start/0/end/0/c")</f>
        <v>https://tablet.otzar.org/#/book/677542/p/-1/t/1/fs/0/start/0/end/0/c</v>
      </c>
    </row>
    <row r="161" spans="1:8" x14ac:dyDescent="0.25">
      <c r="A161">
        <v>677070</v>
      </c>
      <c r="B161" t="s">
        <v>268</v>
      </c>
      <c r="C161" t="s">
        <v>269</v>
      </c>
      <c r="D161" t="s">
        <v>14</v>
      </c>
      <c r="E161" t="s">
        <v>163</v>
      </c>
      <c r="F161" t="s">
        <v>24</v>
      </c>
      <c r="G161" t="str">
        <f>HYPERLINK(_xlfn.CONCAT("https://tablet.otzar.org/",CHAR(35),"/exKotar/677070"),"נתיבות דעת - 6 כרכים")</f>
        <v>נתיבות דעת - 6 כרכים</v>
      </c>
      <c r="H161" t="str">
        <f>_xlfn.CONCAT("https://tablet.otzar.org/",CHAR(35),"/exKotar/677070")</f>
        <v>https://tablet.otzar.org/#/exKotar/677070</v>
      </c>
    </row>
    <row r="162" spans="1:8" x14ac:dyDescent="0.25">
      <c r="A162">
        <v>677496</v>
      </c>
      <c r="B162" t="s">
        <v>270</v>
      </c>
      <c r="C162" t="s">
        <v>21</v>
      </c>
      <c r="D162" t="s">
        <v>14</v>
      </c>
      <c r="E162" t="s">
        <v>18</v>
      </c>
      <c r="F162" t="s">
        <v>57</v>
      </c>
      <c r="G162" t="str">
        <f>HYPERLINK(_xlfn.CONCAT("https://tablet.otzar.org/",CHAR(35),"/book/677496/p/-1/t/1/fs/0/start/0/end/0/c"),"סדר הושענות המבואר &lt;מתיבתא&gt;")</f>
        <v>סדר הושענות המבואר &lt;מתיבתא&gt;</v>
      </c>
      <c r="H162" t="str">
        <f>_xlfn.CONCAT("https://tablet.otzar.org/",CHAR(35),"/book/677496/p/-1/t/1/fs/0/start/0/end/0/c")</f>
        <v>https://tablet.otzar.org/#/book/677496/p/-1/t/1/fs/0/start/0/end/0/c</v>
      </c>
    </row>
    <row r="163" spans="1:8" x14ac:dyDescent="0.25">
      <c r="A163">
        <v>674954</v>
      </c>
      <c r="B163" t="s">
        <v>271</v>
      </c>
      <c r="C163" t="s">
        <v>272</v>
      </c>
      <c r="D163" t="s">
        <v>14</v>
      </c>
      <c r="E163" t="s">
        <v>15</v>
      </c>
      <c r="F163" t="s">
        <v>57</v>
      </c>
      <c r="G163" t="str">
        <f>HYPERLINK(_xlfn.CONCAT("https://tablet.otzar.org/",CHAR(35),"/book/674954/p/-1/t/1/fs/0/start/0/end/0/c"),"סדר סליחות &lt;עוז והדר&gt; - כמנהג פולין")</f>
        <v>סדר סליחות &lt;עוז והדר&gt; - כמנהג פולין</v>
      </c>
      <c r="H163" t="str">
        <f>_xlfn.CONCAT("https://tablet.otzar.org/",CHAR(35),"/book/674954/p/-1/t/1/fs/0/start/0/end/0/c")</f>
        <v>https://tablet.otzar.org/#/book/674954/p/-1/t/1/fs/0/start/0/end/0/c</v>
      </c>
    </row>
    <row r="164" spans="1:8" x14ac:dyDescent="0.25">
      <c r="A164">
        <v>674960</v>
      </c>
      <c r="B164" t="s">
        <v>273</v>
      </c>
      <c r="C164" t="s">
        <v>21</v>
      </c>
      <c r="D164" t="s">
        <v>14</v>
      </c>
      <c r="E164" t="s">
        <v>18</v>
      </c>
      <c r="G164" t="str">
        <f>HYPERLINK(_xlfn.CONCAT("https://tablet.otzar.org/",CHAR(35),"/book/674960/p/-1/t/1/fs/0/start/0/end/0/c"),"סדר סליחות &lt;עוז והדר&gt; - כמנהג ליטא")</f>
        <v>סדר סליחות &lt;עוז והדר&gt; - כמנהג ליטא</v>
      </c>
      <c r="H164" t="str">
        <f>_xlfn.CONCAT("https://tablet.otzar.org/",CHAR(35),"/book/674960/p/-1/t/1/fs/0/start/0/end/0/c")</f>
        <v>https://tablet.otzar.org/#/book/674960/p/-1/t/1/fs/0/start/0/end/0/c</v>
      </c>
    </row>
    <row r="165" spans="1:8" x14ac:dyDescent="0.25">
      <c r="A165">
        <v>674962</v>
      </c>
      <c r="B165" t="s">
        <v>274</v>
      </c>
      <c r="C165" t="s">
        <v>21</v>
      </c>
      <c r="D165" t="s">
        <v>14</v>
      </c>
      <c r="E165" t="s">
        <v>80</v>
      </c>
      <c r="G165" t="str">
        <f>HYPERLINK(_xlfn.CONCAT("https://tablet.otzar.org/",CHAR(35),"/exKotar/674962"),"סדר סליחות המבואר מתיבתא - 2 כרכים")</f>
        <v>סדר סליחות המבואר מתיבתא - 2 כרכים</v>
      </c>
      <c r="H165" t="str">
        <f>_xlfn.CONCAT("https://tablet.otzar.org/",CHAR(35),"/exKotar/674962")</f>
        <v>https://tablet.otzar.org/#/exKotar/674962</v>
      </c>
    </row>
    <row r="166" spans="1:8" x14ac:dyDescent="0.25">
      <c r="A166">
        <v>674958</v>
      </c>
      <c r="B166" t="s">
        <v>275</v>
      </c>
      <c r="C166" t="s">
        <v>21</v>
      </c>
      <c r="D166" t="s">
        <v>14</v>
      </c>
      <c r="E166" t="s">
        <v>163</v>
      </c>
      <c r="F166" t="s">
        <v>57</v>
      </c>
      <c r="G166" t="str">
        <f>HYPERLINK(_xlfn.CONCAT("https://tablet.otzar.org/",CHAR(35),"/exKotar/674958"),"סידור המבואר מתיבתא - 3 כרכים")</f>
        <v>סידור המבואר מתיבתא - 3 כרכים</v>
      </c>
      <c r="H166" t="str">
        <f>_xlfn.CONCAT("https://tablet.otzar.org/",CHAR(35),"/exKotar/674958")</f>
        <v>https://tablet.otzar.org/#/exKotar/674958</v>
      </c>
    </row>
    <row r="167" spans="1:8" x14ac:dyDescent="0.25">
      <c r="A167">
        <v>677555</v>
      </c>
      <c r="B167" t="s">
        <v>276</v>
      </c>
      <c r="C167" t="s">
        <v>90</v>
      </c>
      <c r="D167" t="s">
        <v>14</v>
      </c>
      <c r="E167" t="s">
        <v>18</v>
      </c>
      <c r="G167" t="str">
        <f>HYPERLINK(_xlfn.CONCAT("https://tablet.otzar.org/",CHAR(35),"/exKotar/677555"),"סידור השל""""ה - 3 כרכים")</f>
        <v>סידור השל""ה - 3 כרכים</v>
      </c>
      <c r="H167" t="str">
        <f>_xlfn.CONCAT("https://tablet.otzar.org/",CHAR(35),"/exKotar/677555")</f>
        <v>https://tablet.otzar.org/#/exKotar/677555</v>
      </c>
    </row>
    <row r="168" spans="1:8" x14ac:dyDescent="0.25">
      <c r="A168">
        <v>674889</v>
      </c>
      <c r="B168" t="s">
        <v>277</v>
      </c>
      <c r="C168" t="s">
        <v>90</v>
      </c>
      <c r="D168" t="s">
        <v>14</v>
      </c>
      <c r="E168" t="s">
        <v>38</v>
      </c>
      <c r="F168" t="s">
        <v>57</v>
      </c>
      <c r="G168" t="str">
        <f>HYPERLINK(_xlfn.CONCAT("https://tablet.otzar.org/",CHAR(35),"/book/674889/p/-1/t/1/fs/0/start/0/end/0/c"),"סידור השל""""ה &lt;שער השמים&gt; - לימות החול")</f>
        <v>סידור השל""ה &lt;שער השמים&gt; - לימות החול</v>
      </c>
      <c r="H168" t="str">
        <f>_xlfn.CONCAT("https://tablet.otzar.org/",CHAR(35),"/book/674889/p/-1/t/1/fs/0/start/0/end/0/c")</f>
        <v>https://tablet.otzar.org/#/book/674889/p/-1/t/1/fs/0/start/0/end/0/c</v>
      </c>
    </row>
    <row r="169" spans="1:8" x14ac:dyDescent="0.25">
      <c r="A169">
        <v>602358</v>
      </c>
      <c r="B169" t="s">
        <v>278</v>
      </c>
      <c r="C169" t="s">
        <v>21</v>
      </c>
      <c r="D169" t="s">
        <v>14</v>
      </c>
      <c r="E169" t="s">
        <v>15</v>
      </c>
      <c r="F169" t="s">
        <v>57</v>
      </c>
      <c r="G169" t="str">
        <f>HYPERLINK(_xlfn.CONCAT("https://tablet.otzar.org/",CHAR(35),"/book/602358/p/-1/t/1/fs/0/start/0/end/0/c"),"סידור השלם עוז והדר - ספרד")</f>
        <v>סידור השלם עוז והדר - ספרד</v>
      </c>
      <c r="H169" t="str">
        <f>_xlfn.CONCAT("https://tablet.otzar.org/",CHAR(35),"/book/602358/p/-1/t/1/fs/0/start/0/end/0/c")</f>
        <v>https://tablet.otzar.org/#/book/602358/p/-1/t/1/fs/0/start/0/end/0/c</v>
      </c>
    </row>
    <row r="170" spans="1:8" x14ac:dyDescent="0.25">
      <c r="A170">
        <v>674886</v>
      </c>
      <c r="B170" t="s">
        <v>279</v>
      </c>
      <c r="C170" t="s">
        <v>21</v>
      </c>
      <c r="D170" t="s">
        <v>14</v>
      </c>
      <c r="E170" t="s">
        <v>15</v>
      </c>
      <c r="F170" t="s">
        <v>57</v>
      </c>
      <c r="G170" t="str">
        <f>HYPERLINK(_xlfn.CONCAT("https://tablet.otzar.org/",CHAR(35),"/book/674886/p/-1/t/1/fs/0/start/0/end/0/c"),"סידור לבית יעקב &lt;עוז והדר&gt; - ספרד")</f>
        <v>סידור לבית יעקב &lt;עוז והדר&gt; - ספרד</v>
      </c>
      <c r="H170" t="str">
        <f>_xlfn.CONCAT("https://tablet.otzar.org/",CHAR(35),"/book/674886/p/-1/t/1/fs/0/start/0/end/0/c")</f>
        <v>https://tablet.otzar.org/#/book/674886/p/-1/t/1/fs/0/start/0/end/0/c</v>
      </c>
    </row>
    <row r="171" spans="1:8" x14ac:dyDescent="0.25">
      <c r="A171">
        <v>674885</v>
      </c>
      <c r="B171" t="s">
        <v>280</v>
      </c>
      <c r="C171" t="s">
        <v>21</v>
      </c>
      <c r="D171" t="s">
        <v>14</v>
      </c>
      <c r="E171" t="s">
        <v>15</v>
      </c>
      <c r="F171" t="s">
        <v>57</v>
      </c>
      <c r="G171" t="str">
        <f>HYPERLINK(_xlfn.CONCAT("https://tablet.otzar.org/",CHAR(35),"/book/674885/p/-1/t/1/fs/0/start/0/end/0/c"),"סידור עוז והדר - אשכנז")</f>
        <v>סידור עוז והדר - אשכנז</v>
      </c>
      <c r="H171" t="str">
        <f>_xlfn.CONCAT("https://tablet.otzar.org/",CHAR(35),"/book/674885/p/-1/t/1/fs/0/start/0/end/0/c")</f>
        <v>https://tablet.otzar.org/#/book/674885/p/-1/t/1/fs/0/start/0/end/0/c</v>
      </c>
    </row>
    <row r="172" spans="1:8" x14ac:dyDescent="0.25">
      <c r="A172">
        <v>677553</v>
      </c>
      <c r="B172" t="s">
        <v>281</v>
      </c>
      <c r="C172" t="s">
        <v>282</v>
      </c>
      <c r="D172" t="s">
        <v>14</v>
      </c>
      <c r="E172" t="s">
        <v>80</v>
      </c>
      <c r="G172" t="str">
        <f>HYPERLINK(_xlfn.CONCAT("https://tablet.otzar.org/",CHAR(35),"/book/677553/p/-1/t/1/fs/0/start/0/end/0/c"),"סידור עוז והדר &lt;ספרד&gt; - שבועות")</f>
        <v>סידור עוז והדר &lt;ספרד&gt; - שבועות</v>
      </c>
      <c r="H172" t="str">
        <f>_xlfn.CONCAT("https://tablet.otzar.org/",CHAR(35),"/book/677553/p/-1/t/1/fs/0/start/0/end/0/c")</f>
        <v>https://tablet.otzar.org/#/book/677553/p/-1/t/1/fs/0/start/0/end/0/c</v>
      </c>
    </row>
    <row r="173" spans="1:8" x14ac:dyDescent="0.25">
      <c r="A173">
        <v>688423</v>
      </c>
      <c r="B173" t="s">
        <v>283</v>
      </c>
      <c r="C173" t="s">
        <v>284</v>
      </c>
      <c r="D173" t="s">
        <v>14</v>
      </c>
      <c r="E173" t="s">
        <v>18</v>
      </c>
      <c r="F173" t="s">
        <v>57</v>
      </c>
      <c r="G173" t="str">
        <f>HYPERLINK(_xlfn.CONCAT("https://tablet.otzar.org/",CHAR(35),"/exKotar/688423"),"סידור עוז והדר &lt;ספרד&gt; - 2 כרכים")</f>
        <v>סידור עוז והדר &lt;ספרד&gt; - 2 כרכים</v>
      </c>
      <c r="H173" t="str">
        <f>_xlfn.CONCAT("https://tablet.otzar.org/",CHAR(35),"/exKotar/688423")</f>
        <v>https://tablet.otzar.org/#/exKotar/688423</v>
      </c>
    </row>
    <row r="174" spans="1:8" x14ac:dyDescent="0.25">
      <c r="A174">
        <v>674888</v>
      </c>
      <c r="B174" t="s">
        <v>285</v>
      </c>
      <c r="C174" t="s">
        <v>21</v>
      </c>
      <c r="D174" t="s">
        <v>14</v>
      </c>
      <c r="E174" t="s">
        <v>38</v>
      </c>
      <c r="F174" t="s">
        <v>57</v>
      </c>
      <c r="G174" t="str">
        <f>HYPERLINK(_xlfn.CONCAT("https://tablet.otzar.org/",CHAR(35),"/book/674888/p/-1/t/1/fs/0/start/0/end/0/c"),"סידור עוז והדר לחג השבועות")</f>
        <v>סידור עוז והדר לחג השבועות</v>
      </c>
      <c r="H174" t="str">
        <f>_xlfn.CONCAT("https://tablet.otzar.org/",CHAR(35),"/book/674888/p/-1/t/1/fs/0/start/0/end/0/c")</f>
        <v>https://tablet.otzar.org/#/book/674888/p/-1/t/1/fs/0/start/0/end/0/c</v>
      </c>
    </row>
    <row r="175" spans="1:8" x14ac:dyDescent="0.25">
      <c r="A175">
        <v>674887</v>
      </c>
      <c r="B175" t="s">
        <v>286</v>
      </c>
      <c r="C175" t="s">
        <v>21</v>
      </c>
      <c r="D175" t="s">
        <v>14</v>
      </c>
      <c r="E175" t="s">
        <v>15</v>
      </c>
      <c r="F175" t="s">
        <v>57</v>
      </c>
      <c r="G175" t="str">
        <f>HYPERLINK(_xlfn.CONCAT("https://tablet.otzar.org/",CHAR(35),"/book/674887/p/-1/t/1/fs/0/start/0/end/0/c"),"סידור עוז והדר לשליח ציבור - ספרד")</f>
        <v>סידור עוז והדר לשליח ציבור - ספרד</v>
      </c>
      <c r="H175" t="str">
        <f>_xlfn.CONCAT("https://tablet.otzar.org/",CHAR(35),"/book/674887/p/-1/t/1/fs/0/start/0/end/0/c")</f>
        <v>https://tablet.otzar.org/#/book/674887/p/-1/t/1/fs/0/start/0/end/0/c</v>
      </c>
    </row>
    <row r="176" spans="1:8" x14ac:dyDescent="0.25">
      <c r="A176">
        <v>677544</v>
      </c>
      <c r="B176" t="s">
        <v>287</v>
      </c>
      <c r="C176" t="s">
        <v>21</v>
      </c>
      <c r="D176" t="s">
        <v>14</v>
      </c>
      <c r="E176" t="s">
        <v>52</v>
      </c>
      <c r="F176" t="s">
        <v>57</v>
      </c>
      <c r="G176" t="str">
        <f>HYPERLINK(_xlfn.CONCAT("https://tablet.otzar.org/",CHAR(35),"/exKotar/677544"),"סידור עוז והדר עם ביאורי המילים &lt;אשכנז&gt; - 2 כרכים")</f>
        <v>סידור עוז והדר עם ביאורי המילים &lt;אשכנז&gt; - 2 כרכים</v>
      </c>
      <c r="H176" t="str">
        <f>_xlfn.CONCAT("https://tablet.otzar.org/",CHAR(35),"/exKotar/677544")</f>
        <v>https://tablet.otzar.org/#/exKotar/677544</v>
      </c>
    </row>
    <row r="177" spans="1:8" x14ac:dyDescent="0.25">
      <c r="A177">
        <v>677548</v>
      </c>
      <c r="B177" t="s">
        <v>288</v>
      </c>
      <c r="C177" t="s">
        <v>21</v>
      </c>
      <c r="D177" t="s">
        <v>14</v>
      </c>
      <c r="E177" t="s">
        <v>52</v>
      </c>
      <c r="F177" t="s">
        <v>57</v>
      </c>
      <c r="G177" t="str">
        <f>HYPERLINK(_xlfn.CONCAT("https://tablet.otzar.org/",CHAR(35),"/exKotar/677548"),"סידור עוז והדר עם ביאורי המילים &lt;ספרד&gt; - 2 כרכים")</f>
        <v>סידור עוז והדר עם ביאורי המילים &lt;ספרד&gt; - 2 כרכים</v>
      </c>
      <c r="H177" t="str">
        <f>_xlfn.CONCAT("https://tablet.otzar.org/",CHAR(35),"/exKotar/677548")</f>
        <v>https://tablet.otzar.org/#/exKotar/677548</v>
      </c>
    </row>
    <row r="178" spans="1:8" x14ac:dyDescent="0.25">
      <c r="A178">
        <v>677563</v>
      </c>
      <c r="B178" t="s">
        <v>289</v>
      </c>
      <c r="C178" t="s">
        <v>290</v>
      </c>
      <c r="D178" t="s">
        <v>14</v>
      </c>
      <c r="E178" t="s">
        <v>52</v>
      </c>
      <c r="F178" t="s">
        <v>60</v>
      </c>
      <c r="G178" t="str">
        <f>HYPERLINK(_xlfn.CONCAT("https://tablet.otzar.org/",CHAR(35),"/book/677563/p/-1/t/1/fs/0/start/0/end/0/c"),"ספר הישר &lt;עוז והדר&gt; - מנוקד")</f>
        <v>ספר הישר &lt;עוז והדר&gt; - מנוקד</v>
      </c>
      <c r="H178" t="str">
        <f>_xlfn.CONCAT("https://tablet.otzar.org/",CHAR(35),"/book/677563/p/-1/t/1/fs/0/start/0/end/0/c")</f>
        <v>https://tablet.otzar.org/#/book/677563/p/-1/t/1/fs/0/start/0/end/0/c</v>
      </c>
    </row>
    <row r="179" spans="1:8" x14ac:dyDescent="0.25">
      <c r="A179">
        <v>677564</v>
      </c>
      <c r="B179" t="s">
        <v>291</v>
      </c>
      <c r="C179" t="s">
        <v>21</v>
      </c>
      <c r="D179" t="s">
        <v>14</v>
      </c>
      <c r="E179" t="s">
        <v>80</v>
      </c>
      <c r="F179" t="s">
        <v>24</v>
      </c>
      <c r="G179" t="str">
        <f>HYPERLINK(_xlfn.CONCAT("https://tablet.otzar.org/",CHAR(35),"/book/677564/p/-1/t/1/fs/0/start/0/end/0/c"),"ספר הפטרות המבואר")</f>
        <v>ספר הפטרות המבואר</v>
      </c>
      <c r="H179" t="str">
        <f>_xlfn.CONCAT("https://tablet.otzar.org/",CHAR(35),"/book/677564/p/-1/t/1/fs/0/start/0/end/0/c")</f>
        <v>https://tablet.otzar.org/#/book/677564/p/-1/t/1/fs/0/start/0/end/0/c</v>
      </c>
    </row>
    <row r="180" spans="1:8" x14ac:dyDescent="0.25">
      <c r="A180">
        <v>674890</v>
      </c>
      <c r="B180" t="s">
        <v>292</v>
      </c>
      <c r="C180" t="s">
        <v>293</v>
      </c>
      <c r="D180" t="s">
        <v>14</v>
      </c>
      <c r="E180" t="s">
        <v>80</v>
      </c>
      <c r="F180" t="s">
        <v>24</v>
      </c>
      <c r="G180" t="str">
        <f>HYPERLINK(_xlfn.CONCAT("https://tablet.otzar.org/",CHAR(35),"/book/674890/p/-1/t/1/fs/0/start/0/end/0/c"),"ספר תהלים &lt;עוז והדר&gt;")</f>
        <v>ספר תהלים &lt;עוז והדר&gt;</v>
      </c>
      <c r="H180" t="str">
        <f>_xlfn.CONCAT("https://tablet.otzar.org/",CHAR(35),"/book/674890/p/-1/t/1/fs/0/start/0/end/0/c")</f>
        <v>https://tablet.otzar.org/#/book/674890/p/-1/t/1/fs/0/start/0/end/0/c</v>
      </c>
    </row>
    <row r="181" spans="1:8" x14ac:dyDescent="0.25">
      <c r="A181">
        <v>677647</v>
      </c>
      <c r="B181" t="s">
        <v>294</v>
      </c>
      <c r="C181" t="s">
        <v>21</v>
      </c>
      <c r="D181" t="s">
        <v>14</v>
      </c>
      <c r="E181" t="s">
        <v>41</v>
      </c>
      <c r="F181" t="s">
        <v>24</v>
      </c>
      <c r="G181" t="str">
        <f>HYPERLINK(_xlfn.CONCAT("https://tablet.otzar.org/",CHAR(35),"/book/677647/p/-1/t/1/fs/0/start/0/end/0/c"),"ספר תהלים עם ביאורי מילים")</f>
        <v>ספר תהלים עם ביאורי מילים</v>
      </c>
      <c r="H181" t="str">
        <f>_xlfn.CONCAT("https://tablet.otzar.org/",CHAR(35),"/book/677647/p/-1/t/1/fs/0/start/0/end/0/c")</f>
        <v>https://tablet.otzar.org/#/book/677647/p/-1/t/1/fs/0/start/0/end/0/c</v>
      </c>
    </row>
    <row r="182" spans="1:8" x14ac:dyDescent="0.25">
      <c r="A182">
        <v>677567</v>
      </c>
      <c r="B182" t="s">
        <v>295</v>
      </c>
      <c r="C182" t="s">
        <v>296</v>
      </c>
      <c r="D182" t="s">
        <v>14</v>
      </c>
      <c r="E182" t="s">
        <v>38</v>
      </c>
      <c r="F182" t="s">
        <v>29</v>
      </c>
      <c r="G182" t="str">
        <f>HYPERLINK(_xlfn.CONCAT("https://tablet.otzar.org/",CHAR(35),"/book/677567/p/-1/t/1/fs/0/start/0/end/0/c"),"ספרא דמלכא")</f>
        <v>ספרא דמלכא</v>
      </c>
      <c r="H182" t="str">
        <f>_xlfn.CONCAT("https://tablet.otzar.org/",CHAR(35),"/book/677567/p/-1/t/1/fs/0/start/0/end/0/c")</f>
        <v>https://tablet.otzar.org/#/book/677567/p/-1/t/1/fs/0/start/0/end/0/c</v>
      </c>
    </row>
    <row r="183" spans="1:8" x14ac:dyDescent="0.25">
      <c r="A183">
        <v>676876</v>
      </c>
      <c r="B183" t="s">
        <v>297</v>
      </c>
      <c r="C183" t="s">
        <v>298</v>
      </c>
      <c r="D183" t="s">
        <v>14</v>
      </c>
      <c r="E183" t="s">
        <v>18</v>
      </c>
      <c r="F183" t="s">
        <v>299</v>
      </c>
      <c r="G183" t="str">
        <f>HYPERLINK(_xlfn.CONCAT("https://tablet.otzar.org/",CHAR(35),"/exKotar/676876"),"עבודת ישראל המפואר - 2 כרכים")</f>
        <v>עבודת ישראל המפואר - 2 כרכים</v>
      </c>
      <c r="H183" t="str">
        <f>_xlfn.CONCAT("https://tablet.otzar.org/",CHAR(35),"/exKotar/676876")</f>
        <v>https://tablet.otzar.org/#/exKotar/676876</v>
      </c>
    </row>
    <row r="184" spans="1:8" x14ac:dyDescent="0.25">
      <c r="A184">
        <v>677220</v>
      </c>
      <c r="B184" t="s">
        <v>300</v>
      </c>
      <c r="C184" t="s">
        <v>301</v>
      </c>
      <c r="D184" t="s">
        <v>14</v>
      </c>
      <c r="E184" t="s">
        <v>18</v>
      </c>
      <c r="F184" t="s">
        <v>42</v>
      </c>
      <c r="G184" t="str">
        <f>HYPERLINK(_xlfn.CONCAT("https://tablet.otzar.org/",CHAR(35),"/exKotar/677220"),"עז והדר - 3 כרכים")</f>
        <v>עז והדר - 3 כרכים</v>
      </c>
      <c r="H184" t="str">
        <f>_xlfn.CONCAT("https://tablet.otzar.org/",CHAR(35),"/exKotar/677220")</f>
        <v>https://tablet.otzar.org/#/exKotar/677220</v>
      </c>
    </row>
    <row r="185" spans="1:8" x14ac:dyDescent="0.25">
      <c r="A185">
        <v>602527</v>
      </c>
      <c r="B185" t="s">
        <v>302</v>
      </c>
      <c r="C185" t="s">
        <v>303</v>
      </c>
      <c r="D185" t="s">
        <v>14</v>
      </c>
      <c r="E185" t="s">
        <v>26</v>
      </c>
      <c r="G185" t="str">
        <f>HYPERLINK(_xlfn.CONCAT("https://tablet.otzar.org/",CHAR(35),"/exKotar/602527"),"עקידת יצחק עם ביאור מקור חיים - 6 כרכים")</f>
        <v>עקידת יצחק עם ביאור מקור חיים - 6 כרכים</v>
      </c>
      <c r="H185" t="str">
        <f>_xlfn.CONCAT("https://tablet.otzar.org/",CHAR(35),"/exKotar/602527")</f>
        <v>https://tablet.otzar.org/#/exKotar/602527</v>
      </c>
    </row>
    <row r="186" spans="1:8" x14ac:dyDescent="0.25">
      <c r="A186">
        <v>602339</v>
      </c>
      <c r="B186" t="s">
        <v>304</v>
      </c>
      <c r="C186" t="s">
        <v>305</v>
      </c>
      <c r="D186" t="s">
        <v>14</v>
      </c>
      <c r="E186" t="s">
        <v>15</v>
      </c>
      <c r="F186" t="s">
        <v>155</v>
      </c>
      <c r="G186" t="str">
        <f>HYPERLINK(_xlfn.CONCAT("https://tablet.otzar.org/",CHAR(35),"/exKotar/602339"),"ערוך השלחן &lt;עוז והדר&gt;  - 9 כרכים")</f>
        <v>ערוך השלחן &lt;עוז והדר&gt;  - 9 כרכים</v>
      </c>
      <c r="H186" t="str">
        <f>_xlfn.CONCAT("https://tablet.otzar.org/",CHAR(35),"/exKotar/602339")</f>
        <v>https://tablet.otzar.org/#/exKotar/602339</v>
      </c>
    </row>
    <row r="187" spans="1:8" x14ac:dyDescent="0.25">
      <c r="A187">
        <v>677593</v>
      </c>
      <c r="B187" t="s">
        <v>306</v>
      </c>
      <c r="C187" t="s">
        <v>95</v>
      </c>
      <c r="D187" t="s">
        <v>14</v>
      </c>
      <c r="E187" t="s">
        <v>41</v>
      </c>
      <c r="F187" t="s">
        <v>24</v>
      </c>
      <c r="G187" t="str">
        <f>HYPERLINK(_xlfn.CONCAT("https://tablet.otzar.org/",CHAR(35),"/exKotar/677593"),"פירוש הרמב""""ן על התורה - 2 כרכים")</f>
        <v>פירוש הרמב""ן על התורה - 2 כרכים</v>
      </c>
      <c r="H187" t="str">
        <f>_xlfn.CONCAT("https://tablet.otzar.org/",CHAR(35),"/exKotar/677593")</f>
        <v>https://tablet.otzar.org/#/exKotar/677593</v>
      </c>
    </row>
    <row r="188" spans="1:8" x14ac:dyDescent="0.25">
      <c r="A188">
        <v>677198</v>
      </c>
      <c r="B188" t="s">
        <v>307</v>
      </c>
      <c r="C188" t="s">
        <v>308</v>
      </c>
      <c r="D188" t="s">
        <v>14</v>
      </c>
      <c r="E188" t="s">
        <v>18</v>
      </c>
      <c r="F188" t="s">
        <v>24</v>
      </c>
      <c r="G188" t="str">
        <f>HYPERLINK(_xlfn.CONCAT("https://tablet.otzar.org/",CHAR(35),"/exKotar/677198"),"פירוש התורה לאברבנאל - 5 כרכים")</f>
        <v>פירוש התורה לאברבנאל - 5 כרכים</v>
      </c>
      <c r="H188" t="str">
        <f>_xlfn.CONCAT("https://tablet.otzar.org/",CHAR(35),"/exKotar/677198")</f>
        <v>https://tablet.otzar.org/#/exKotar/677198</v>
      </c>
    </row>
    <row r="189" spans="1:8" x14ac:dyDescent="0.25">
      <c r="A189">
        <v>677561</v>
      </c>
      <c r="B189" t="s">
        <v>309</v>
      </c>
      <c r="C189" t="s">
        <v>127</v>
      </c>
      <c r="D189" t="s">
        <v>14</v>
      </c>
      <c r="E189" t="s">
        <v>18</v>
      </c>
      <c r="F189" t="s">
        <v>24</v>
      </c>
      <c r="G189" t="str">
        <f>HYPERLINK(_xlfn.CONCAT("https://tablet.otzar.org/",CHAR(35),"/exKotar/677561"),"פירוש ספורנו המבואר - 2 כרכים")</f>
        <v>פירוש ספורנו המבואר - 2 כרכים</v>
      </c>
      <c r="H189" t="str">
        <f>_xlfn.CONCAT("https://tablet.otzar.org/",CHAR(35),"/exKotar/677561")</f>
        <v>https://tablet.otzar.org/#/exKotar/677561</v>
      </c>
    </row>
    <row r="190" spans="1:8" x14ac:dyDescent="0.25">
      <c r="A190">
        <v>677193</v>
      </c>
      <c r="B190" t="s">
        <v>310</v>
      </c>
      <c r="C190" t="s">
        <v>311</v>
      </c>
      <c r="D190" t="s">
        <v>14</v>
      </c>
      <c r="E190" t="s">
        <v>10</v>
      </c>
      <c r="F190" t="s">
        <v>24</v>
      </c>
      <c r="G190" t="str">
        <f>HYPERLINK(_xlfn.CONCAT("https://tablet.otzar.org/",CHAR(35),"/exKotar/677193"),"פירוש רבינו בחיי המבואר - 5 כרכים")</f>
        <v>פירוש רבינו בחיי המבואר - 5 כרכים</v>
      </c>
      <c r="H190" t="str">
        <f>_xlfn.CONCAT("https://tablet.otzar.org/",CHAR(35),"/exKotar/677193")</f>
        <v>https://tablet.otzar.org/#/exKotar/677193</v>
      </c>
    </row>
    <row r="191" spans="1:8" x14ac:dyDescent="0.25">
      <c r="A191">
        <v>678930</v>
      </c>
      <c r="B191" t="s">
        <v>312</v>
      </c>
      <c r="C191" t="s">
        <v>313</v>
      </c>
      <c r="D191" t="s">
        <v>14</v>
      </c>
      <c r="E191" t="s">
        <v>314</v>
      </c>
      <c r="F191" t="s">
        <v>155</v>
      </c>
      <c r="G191" t="str">
        <f>HYPERLINK(_xlfn.CONCAT("https://tablet.otzar.org/",CHAR(35),"/exKotar/678930"),"פירות גנוסר - 2 כרכים")</f>
        <v>פירות גנוסר - 2 כרכים</v>
      </c>
      <c r="H191" t="str">
        <f>_xlfn.CONCAT("https://tablet.otzar.org/",CHAR(35),"/exKotar/678930")</f>
        <v>https://tablet.otzar.org/#/exKotar/678930</v>
      </c>
    </row>
    <row r="192" spans="1:8" x14ac:dyDescent="0.25">
      <c r="A192">
        <v>676911</v>
      </c>
      <c r="B192" t="s">
        <v>315</v>
      </c>
      <c r="C192" t="s">
        <v>316</v>
      </c>
      <c r="D192" t="s">
        <v>14</v>
      </c>
      <c r="E192" t="s">
        <v>38</v>
      </c>
      <c r="F192" t="s">
        <v>24</v>
      </c>
      <c r="G192" t="str">
        <f>HYPERLINK(_xlfn.CONCAT("https://tablet.otzar.org/",CHAR(35),"/exKotar/676911"),"פנים יפות &lt;עוז והדר&gt; - 6 כרכים")</f>
        <v>פנים יפות &lt;עוז והדר&gt; - 6 כרכים</v>
      </c>
      <c r="H192" t="str">
        <f>_xlfn.CONCAT("https://tablet.otzar.org/",CHAR(35),"/exKotar/676911")</f>
        <v>https://tablet.otzar.org/#/exKotar/676911</v>
      </c>
    </row>
    <row r="193" spans="1:8" x14ac:dyDescent="0.25">
      <c r="A193">
        <v>602534</v>
      </c>
      <c r="B193" t="s">
        <v>317</v>
      </c>
      <c r="C193" t="s">
        <v>45</v>
      </c>
      <c r="D193" t="s">
        <v>14</v>
      </c>
      <c r="E193" t="s">
        <v>26</v>
      </c>
      <c r="F193" t="s">
        <v>318</v>
      </c>
      <c r="G193" t="str">
        <f>HYPERLINK(_xlfn.CONCAT("https://tablet.otzar.org/",CHAR(35),"/book/602534/p/-1/t/1/fs/0/start/0/end/0/c"),"פרק שירה אור החיים המבואר")</f>
        <v>פרק שירה אור החיים המבואר</v>
      </c>
      <c r="H193" t="str">
        <f>_xlfn.CONCAT("https://tablet.otzar.org/",CHAR(35),"/book/602534/p/-1/t/1/fs/0/start/0/end/0/c")</f>
        <v>https://tablet.otzar.org/#/book/602534/p/-1/t/1/fs/0/start/0/end/0/c</v>
      </c>
    </row>
    <row r="194" spans="1:8" x14ac:dyDescent="0.25">
      <c r="A194">
        <v>677575</v>
      </c>
      <c r="B194" t="s">
        <v>319</v>
      </c>
      <c r="C194" t="s">
        <v>45</v>
      </c>
      <c r="D194" t="s">
        <v>14</v>
      </c>
      <c r="E194" t="s">
        <v>84</v>
      </c>
      <c r="F194" t="s">
        <v>318</v>
      </c>
      <c r="G194" t="str">
        <f>HYPERLINK(_xlfn.CONCAT("https://tablet.otzar.org/",CHAR(35),"/book/677575/p/-1/t/1/fs/0/start/0/end/0/c"),"פרק שירה עם פירוש אור החיים המבואר")</f>
        <v>פרק שירה עם פירוש אור החיים המבואר</v>
      </c>
      <c r="H194" t="str">
        <f>_xlfn.CONCAT("https://tablet.otzar.org/",CHAR(35),"/book/677575/p/-1/t/1/fs/0/start/0/end/0/c")</f>
        <v>https://tablet.otzar.org/#/book/677575/p/-1/t/1/fs/0/start/0/end/0/c</v>
      </c>
    </row>
    <row r="195" spans="1:8" x14ac:dyDescent="0.25">
      <c r="A195">
        <v>602275</v>
      </c>
      <c r="B195" t="s">
        <v>320</v>
      </c>
      <c r="C195" t="s">
        <v>21</v>
      </c>
      <c r="D195" t="s">
        <v>14</v>
      </c>
      <c r="E195" t="s">
        <v>15</v>
      </c>
      <c r="F195" t="s">
        <v>24</v>
      </c>
      <c r="G195" t="str">
        <f>HYPERLINK(_xlfn.CONCAT("https://tablet.otzar.org/",CHAR(35),"/exKotar/602275"),"קדושת לוי המבואר - 3 כרכים")</f>
        <v>קדושת לוי המבואר - 3 כרכים</v>
      </c>
      <c r="H195" t="str">
        <f>_xlfn.CONCAT("https://tablet.otzar.org/",CHAR(35),"/exKotar/602275")</f>
        <v>https://tablet.otzar.org/#/exKotar/602275</v>
      </c>
    </row>
    <row r="196" spans="1:8" x14ac:dyDescent="0.25">
      <c r="A196">
        <v>676914</v>
      </c>
      <c r="B196" t="s">
        <v>321</v>
      </c>
      <c r="C196" t="s">
        <v>322</v>
      </c>
      <c r="D196" t="s">
        <v>14</v>
      </c>
      <c r="E196" t="s">
        <v>38</v>
      </c>
      <c r="F196" t="s">
        <v>16</v>
      </c>
      <c r="G196" t="str">
        <f>HYPERLINK(_xlfn.CONCAT("https://tablet.otzar.org/",CHAR(35),"/exKotar/676914"),"קדושת לוי המפואר - 2 כרכים")</f>
        <v>קדושת לוי המפואר - 2 כרכים</v>
      </c>
      <c r="H196" t="str">
        <f>_xlfn.CONCAT("https://tablet.otzar.org/",CHAR(35),"/exKotar/676914")</f>
        <v>https://tablet.otzar.org/#/exKotar/676914</v>
      </c>
    </row>
    <row r="197" spans="1:8" x14ac:dyDescent="0.25">
      <c r="A197">
        <v>677581</v>
      </c>
      <c r="B197" t="s">
        <v>323</v>
      </c>
      <c r="C197" t="s">
        <v>21</v>
      </c>
      <c r="D197" t="s">
        <v>14</v>
      </c>
      <c r="E197" t="s">
        <v>80</v>
      </c>
      <c r="F197" t="s">
        <v>42</v>
      </c>
      <c r="G197" t="str">
        <f>HYPERLINK(_xlfn.CONCAT("https://tablet.otzar.org/",CHAR(35),"/exKotar/677581"),"קובץ מפרשים החדש - 7 כרכים")</f>
        <v>קובץ מפרשים החדש - 7 כרכים</v>
      </c>
      <c r="H197" t="str">
        <f>_xlfn.CONCAT("https://tablet.otzar.org/",CHAR(35),"/exKotar/677581")</f>
        <v>https://tablet.otzar.org/#/exKotar/677581</v>
      </c>
    </row>
    <row r="198" spans="1:8" x14ac:dyDescent="0.25">
      <c r="A198">
        <v>677588</v>
      </c>
      <c r="B198" t="s">
        <v>324</v>
      </c>
      <c r="C198" t="s">
        <v>21</v>
      </c>
      <c r="D198" t="s">
        <v>14</v>
      </c>
      <c r="E198" t="s">
        <v>26</v>
      </c>
      <c r="F198" t="s">
        <v>57</v>
      </c>
      <c r="G198" t="str">
        <f>HYPERLINK(_xlfn.CONCAT("https://tablet.otzar.org/",CHAR(35),"/book/677588/p/-1/t/1/fs/0/start/0/end/0/c"),"קינות לט' באב המבואר &lt;מתיבתא&gt;")</f>
        <v>קינות לט' באב המבואר &lt;מתיבתא&gt;</v>
      </c>
      <c r="H198" t="str">
        <f>_xlfn.CONCAT("https://tablet.otzar.org/",CHAR(35),"/book/677588/p/-1/t/1/fs/0/start/0/end/0/c")</f>
        <v>https://tablet.otzar.org/#/book/677588/p/-1/t/1/fs/0/start/0/end/0/c</v>
      </c>
    </row>
    <row r="199" spans="1:8" x14ac:dyDescent="0.25">
      <c r="A199">
        <v>602535</v>
      </c>
      <c r="B199" t="s">
        <v>325</v>
      </c>
      <c r="C199" t="s">
        <v>21</v>
      </c>
      <c r="D199" t="s">
        <v>14</v>
      </c>
      <c r="E199" t="s">
        <v>26</v>
      </c>
      <c r="F199" t="s">
        <v>141</v>
      </c>
      <c r="G199" t="str">
        <f>HYPERLINK(_xlfn.CONCAT("https://tablet.otzar.org/",CHAR(35),"/book/602535/p/-1/t/1/fs/0/start/0/end/0/c"),"קינות לתשעה באב המבואר מתיבתא")</f>
        <v>קינות לתשעה באב המבואר מתיבתא</v>
      </c>
      <c r="H199" t="str">
        <f>_xlfn.CONCAT("https://tablet.otzar.org/",CHAR(35),"/book/602535/p/-1/t/1/fs/0/start/0/end/0/c")</f>
        <v>https://tablet.otzar.org/#/book/602535/p/-1/t/1/fs/0/start/0/end/0/c</v>
      </c>
    </row>
    <row r="200" spans="1:8" x14ac:dyDescent="0.25">
      <c r="A200">
        <v>674865</v>
      </c>
      <c r="B200" t="s">
        <v>326</v>
      </c>
      <c r="C200" t="s">
        <v>327</v>
      </c>
      <c r="D200" t="s">
        <v>14</v>
      </c>
      <c r="E200" t="s">
        <v>41</v>
      </c>
      <c r="F200" t="s">
        <v>155</v>
      </c>
      <c r="G200" t="str">
        <f>HYPERLINK(_xlfn.CONCAT("https://tablet.otzar.org/",CHAR(35),"/exKotar/674865"),"קיצור שלחן ערוך &lt;עוז והדר&gt; - 2 כרכים")</f>
        <v>קיצור שלחן ערוך &lt;עוז והדר&gt; - 2 כרכים</v>
      </c>
      <c r="H200" t="str">
        <f>_xlfn.CONCAT("https://tablet.otzar.org/",CHAR(35),"/exKotar/674865")</f>
        <v>https://tablet.otzar.org/#/exKotar/674865</v>
      </c>
    </row>
    <row r="201" spans="1:8" x14ac:dyDescent="0.25">
      <c r="A201">
        <v>677589</v>
      </c>
      <c r="B201" t="s">
        <v>328</v>
      </c>
      <c r="C201" t="s">
        <v>329</v>
      </c>
      <c r="D201" t="s">
        <v>14</v>
      </c>
      <c r="E201" t="s">
        <v>38</v>
      </c>
      <c r="F201" t="s">
        <v>42</v>
      </c>
      <c r="G201" t="str">
        <f>HYPERLINK(_xlfn.CONCAT("https://tablet.otzar.org/",CHAR(35),"/exKotar/677589"),"ראש יוסף המבואר - 4 כרכים")</f>
        <v>ראש יוסף המבואר - 4 כרכים</v>
      </c>
      <c r="H201" t="str">
        <f>_xlfn.CONCAT("https://tablet.otzar.org/",CHAR(35),"/exKotar/677589")</f>
        <v>https://tablet.otzar.org/#/exKotar/677589</v>
      </c>
    </row>
    <row r="202" spans="1:8" x14ac:dyDescent="0.25">
      <c r="A202">
        <v>677408</v>
      </c>
      <c r="B202" t="s">
        <v>330</v>
      </c>
      <c r="C202" t="s">
        <v>331</v>
      </c>
      <c r="D202" t="s">
        <v>14</v>
      </c>
      <c r="E202" t="s">
        <v>15</v>
      </c>
      <c r="F202" t="s">
        <v>42</v>
      </c>
      <c r="G202" t="str">
        <f>HYPERLINK(_xlfn.CONCAT("https://tablet.otzar.org/",CHAR(35),"/exKotar/677408"),"שיטה מקובצת &lt;עוז והדר&gt;  - 10 כרכים")</f>
        <v>שיטה מקובצת &lt;עוז והדר&gt;  - 10 כרכים</v>
      </c>
      <c r="H202" t="str">
        <f>_xlfn.CONCAT("https://tablet.otzar.org/",CHAR(35),"/exKotar/677408")</f>
        <v>https://tablet.otzar.org/#/exKotar/677408</v>
      </c>
    </row>
    <row r="203" spans="1:8" x14ac:dyDescent="0.25">
      <c r="A203">
        <v>676916</v>
      </c>
      <c r="B203" t="s">
        <v>332</v>
      </c>
      <c r="C203" t="s">
        <v>333</v>
      </c>
      <c r="D203" t="s">
        <v>14</v>
      </c>
      <c r="E203" t="s">
        <v>31</v>
      </c>
      <c r="F203" t="s">
        <v>32</v>
      </c>
      <c r="G203" t="str">
        <f>HYPERLINK(_xlfn.CONCAT("https://tablet.otzar.org/",CHAR(35),"/book/676916/p/-1/t/1/fs/0/start/0/end/0/c"),"שינון השלחן - הלכות שבת")</f>
        <v>שינון השלחן - הלכות שבת</v>
      </c>
      <c r="H203" t="str">
        <f>_xlfn.CONCAT("https://tablet.otzar.org/",CHAR(35),"/book/676916/p/-1/t/1/fs/0/start/0/end/0/c")</f>
        <v>https://tablet.otzar.org/#/book/676916/p/-1/t/1/fs/0/start/0/end/0/c</v>
      </c>
    </row>
    <row r="204" spans="1:8" x14ac:dyDescent="0.25">
      <c r="A204">
        <v>677607</v>
      </c>
      <c r="B204" t="s">
        <v>334</v>
      </c>
      <c r="C204" t="s">
        <v>21</v>
      </c>
      <c r="D204" t="s">
        <v>14</v>
      </c>
      <c r="E204" t="s">
        <v>41</v>
      </c>
      <c r="F204" t="s">
        <v>42</v>
      </c>
      <c r="G204" t="str">
        <f>HYPERLINK(_xlfn.CONCAT("https://tablet.otzar.org/",CHAR(35),"/exKotar/677607"),"שינון התלמוד על הש""""ס - 33 כרכים")</f>
        <v>שינון התלמוד על הש""ס - 33 כרכים</v>
      </c>
      <c r="H204" t="str">
        <f>_xlfn.CONCAT("https://tablet.otzar.org/",CHAR(35),"/exKotar/677607")</f>
        <v>https://tablet.otzar.org/#/exKotar/677607</v>
      </c>
    </row>
    <row r="205" spans="1:8" x14ac:dyDescent="0.25">
      <c r="A205">
        <v>674812</v>
      </c>
      <c r="B205" t="s">
        <v>335</v>
      </c>
      <c r="C205" t="s">
        <v>336</v>
      </c>
      <c r="D205" t="s">
        <v>14</v>
      </c>
      <c r="E205" t="s">
        <v>163</v>
      </c>
      <c r="F205" t="s">
        <v>155</v>
      </c>
      <c r="G205" t="str">
        <f>HYPERLINK(_xlfn.CONCAT("https://tablet.otzar.org/",CHAR(35),"/exKotar/674812"),"שלחן ערוך &lt;עוז והדר&gt; - 16 כרכים")</f>
        <v>שלחן ערוך &lt;עוז והדר&gt; - 16 כרכים</v>
      </c>
      <c r="H205" t="str">
        <f>_xlfn.CONCAT("https://tablet.otzar.org/",CHAR(35),"/exKotar/674812")</f>
        <v>https://tablet.otzar.org/#/exKotar/674812</v>
      </c>
    </row>
    <row r="206" spans="1:8" x14ac:dyDescent="0.25">
      <c r="A206">
        <v>677508</v>
      </c>
      <c r="B206" t="s">
        <v>337</v>
      </c>
      <c r="C206" t="s">
        <v>21</v>
      </c>
      <c r="D206" t="s">
        <v>14</v>
      </c>
      <c r="E206" t="s">
        <v>41</v>
      </c>
      <c r="F206" t="s">
        <v>155</v>
      </c>
      <c r="G206" t="str">
        <f>HYPERLINK(_xlfn.CONCAT("https://tablet.otzar.org/",CHAR(35),"/exKotar/677508"),"שלחן ערוך המבואר &lt;מתיבתא&gt; - 23 כרכים")</f>
        <v>שלחן ערוך המבואר &lt;מתיבתא&gt; - 23 כרכים</v>
      </c>
      <c r="H206" t="str">
        <f>_xlfn.CONCAT("https://tablet.otzar.org/",CHAR(35),"/exKotar/677508")</f>
        <v>https://tablet.otzar.org/#/exKotar/677508</v>
      </c>
    </row>
    <row r="207" spans="1:8" x14ac:dyDescent="0.25">
      <c r="A207">
        <v>677601</v>
      </c>
      <c r="B207" t="s">
        <v>338</v>
      </c>
      <c r="C207" t="s">
        <v>21</v>
      </c>
      <c r="D207" t="s">
        <v>14</v>
      </c>
      <c r="E207" t="s">
        <v>339</v>
      </c>
      <c r="F207" t="s">
        <v>22</v>
      </c>
      <c r="G207" t="str">
        <f>HYPERLINK(_xlfn.CONCAT("https://tablet.otzar.org/",CHAR(35),"/book/677601/p/-1/t/1/fs/0/start/0/end/0/c"),"שלחן ערוך המבואר יו""""ד - א")</f>
        <v>שלחן ערוך המבואר יו""ד - א</v>
      </c>
      <c r="H207" t="str">
        <f>_xlfn.CONCAT("https://tablet.otzar.org/",CHAR(35),"/book/677601/p/-1/t/1/fs/0/start/0/end/0/c")</f>
        <v>https://tablet.otzar.org/#/book/677601/p/-1/t/1/fs/0/start/0/end/0/c</v>
      </c>
    </row>
    <row r="208" spans="1:8" x14ac:dyDescent="0.25">
      <c r="A208">
        <v>602559</v>
      </c>
      <c r="B208" t="s">
        <v>340</v>
      </c>
      <c r="C208" t="s">
        <v>341</v>
      </c>
      <c r="D208" t="s">
        <v>14</v>
      </c>
      <c r="E208" t="s">
        <v>342</v>
      </c>
      <c r="G208" t="str">
        <f>HYPERLINK(_xlfn.CONCAT("https://tablet.otzar.org/",CHAR(35),"/exKotar/602559"),"שלחן ערוך הרב &lt;עוז והדר&gt;  - 4 כרכים")</f>
        <v>שלחן ערוך הרב &lt;עוז והדר&gt;  - 4 כרכים</v>
      </c>
      <c r="H208" t="str">
        <f>_xlfn.CONCAT("https://tablet.otzar.org/",CHAR(35),"/exKotar/602559")</f>
        <v>https://tablet.otzar.org/#/exKotar/602559</v>
      </c>
    </row>
    <row r="209" spans="1:8" x14ac:dyDescent="0.25">
      <c r="A209">
        <v>602403</v>
      </c>
      <c r="B209" t="s">
        <v>343</v>
      </c>
      <c r="C209" t="s">
        <v>21</v>
      </c>
      <c r="D209" t="s">
        <v>14</v>
      </c>
      <c r="E209" t="s">
        <v>15</v>
      </c>
      <c r="F209" t="s">
        <v>155</v>
      </c>
      <c r="G209" t="str">
        <f>HYPERLINK(_xlfn.CONCAT("https://tablet.otzar.org/",CHAR(35),"/exKotar/602403"),"שלחן ערוך מתיבתא - 5 כרכים")</f>
        <v>שלחן ערוך מתיבתא - 5 כרכים</v>
      </c>
      <c r="H209" t="str">
        <f>_xlfn.CONCAT("https://tablet.otzar.org/",CHAR(35),"/exKotar/602403")</f>
        <v>https://tablet.otzar.org/#/exKotar/602403</v>
      </c>
    </row>
    <row r="210" spans="1:8" x14ac:dyDescent="0.25">
      <c r="A210">
        <v>148198</v>
      </c>
      <c r="B210" t="s">
        <v>344</v>
      </c>
      <c r="C210" t="s">
        <v>90</v>
      </c>
      <c r="D210" t="s">
        <v>14</v>
      </c>
      <c r="E210" t="s">
        <v>342</v>
      </c>
      <c r="F210" t="s">
        <v>345</v>
      </c>
      <c r="G210" t="str">
        <f>HYPERLINK(_xlfn.CONCAT("https://tablet.otzar.org/",CHAR(35),"/exKotar/148198"),"שני לוחות הברית &lt;עוז והדר&gt;  - 5 כרכים")</f>
        <v>שני לוחות הברית &lt;עוז והדר&gt;  - 5 כרכים</v>
      </c>
      <c r="H210" t="str">
        <f>_xlfn.CONCAT("https://tablet.otzar.org/",CHAR(35),"/exKotar/148198")</f>
        <v>https://tablet.otzar.org/#/exKotar/148198</v>
      </c>
    </row>
    <row r="211" spans="1:8" x14ac:dyDescent="0.25">
      <c r="A211">
        <v>677819</v>
      </c>
      <c r="B211" t="s">
        <v>346</v>
      </c>
      <c r="C211" t="s">
        <v>90</v>
      </c>
      <c r="D211" t="s">
        <v>14</v>
      </c>
      <c r="E211" t="s">
        <v>10</v>
      </c>
      <c r="F211" t="s">
        <v>347</v>
      </c>
      <c r="G211" t="str">
        <f>HYPERLINK(_xlfn.CONCAT("https://tablet.otzar.org/",CHAR(35),"/exKotar/677819"),"שני לוחות הברית השלם והמבואר - 7 כרכים")</f>
        <v>שני לוחות הברית השלם והמבואר - 7 כרכים</v>
      </c>
      <c r="H211" t="str">
        <f>_xlfn.CONCAT("https://tablet.otzar.org/",CHAR(35),"/exKotar/677819")</f>
        <v>https://tablet.otzar.org/#/exKotar/677819</v>
      </c>
    </row>
    <row r="212" spans="1:8" x14ac:dyDescent="0.25">
      <c r="A212">
        <v>677062</v>
      </c>
      <c r="B212" t="s">
        <v>348</v>
      </c>
      <c r="C212" t="s">
        <v>21</v>
      </c>
      <c r="D212" t="s">
        <v>14</v>
      </c>
      <c r="E212" t="s">
        <v>41</v>
      </c>
      <c r="F212" t="s">
        <v>24</v>
      </c>
      <c r="G212" t="str">
        <f>HYPERLINK(_xlfn.CONCAT("https://tablet.otzar.org/",CHAR(35),"/exKotar/677062"),"שנים מקרא ואחד תרגום - 2 כרכים")</f>
        <v>שנים מקרא ואחד תרגום - 2 כרכים</v>
      </c>
      <c r="H212" t="str">
        <f>_xlfn.CONCAT("https://tablet.otzar.org/",CHAR(35),"/exKotar/677062")</f>
        <v>https://tablet.otzar.org/#/exKotar/677062</v>
      </c>
    </row>
    <row r="213" spans="1:8" x14ac:dyDescent="0.25">
      <c r="A213">
        <v>676918</v>
      </c>
      <c r="B213" t="s">
        <v>349</v>
      </c>
      <c r="C213" t="s">
        <v>350</v>
      </c>
      <c r="D213" t="s">
        <v>14</v>
      </c>
      <c r="E213" t="s">
        <v>80</v>
      </c>
      <c r="F213" t="s">
        <v>60</v>
      </c>
      <c r="G213" t="str">
        <f>HYPERLINK(_xlfn.CONCAT("https://tablet.otzar.org/",CHAR(35),"/book/676918/p/-1/t/1/fs/0/start/0/end/0/c"),"שערי תשובה &lt;עוז והדר&gt;")</f>
        <v>שערי תשובה &lt;עוז והדר&gt;</v>
      </c>
      <c r="H213" t="str">
        <f>_xlfn.CONCAT("https://tablet.otzar.org/",CHAR(35),"/book/676918/p/-1/t/1/fs/0/start/0/end/0/c")</f>
        <v>https://tablet.otzar.org/#/book/676918/p/-1/t/1/fs/0/start/0/end/0/c</v>
      </c>
    </row>
    <row r="214" spans="1:8" x14ac:dyDescent="0.25">
      <c r="A214">
        <v>676919</v>
      </c>
      <c r="B214" t="s">
        <v>351</v>
      </c>
      <c r="C214" t="s">
        <v>352</v>
      </c>
      <c r="D214" t="s">
        <v>14</v>
      </c>
      <c r="E214" t="s">
        <v>18</v>
      </c>
      <c r="G214" t="str">
        <f>HYPERLINK(_xlfn.CONCAT("https://tablet.otzar.org/",CHAR(35),"/book/676919/p/-1/t/1/fs/0/start/0/end/0/c"),"שערי תשובה המבואר")</f>
        <v>שערי תשובה המבואר</v>
      </c>
      <c r="H214" t="str">
        <f>_xlfn.CONCAT("https://tablet.otzar.org/",CHAR(35),"/book/676919/p/-1/t/1/fs/0/start/0/end/0/c")</f>
        <v>https://tablet.otzar.org/#/book/676919/p/-1/t/1/fs/0/start/0/end/0/c</v>
      </c>
    </row>
    <row r="215" spans="1:8" x14ac:dyDescent="0.25">
      <c r="A215">
        <v>676995</v>
      </c>
      <c r="B215" t="s">
        <v>353</v>
      </c>
      <c r="C215" t="s">
        <v>354</v>
      </c>
      <c r="D215" t="s">
        <v>14</v>
      </c>
      <c r="E215" t="s">
        <v>52</v>
      </c>
      <c r="F215" t="s">
        <v>24</v>
      </c>
      <c r="G215" t="str">
        <f>HYPERLINK(_xlfn.CONCAT("https://tablet.otzar.org/",CHAR(35),"/exKotar/676995"),"שפת אמת &lt;עוז והדר&gt; - 5 כרכים")</f>
        <v>שפת אמת &lt;עוז והדר&gt; - 5 כרכים</v>
      </c>
      <c r="H215" t="str">
        <f>_xlfn.CONCAT("https://tablet.otzar.org/",CHAR(35),"/exKotar/676995")</f>
        <v>https://tablet.otzar.org/#/exKotar/676995</v>
      </c>
    </row>
    <row r="216" spans="1:8" x14ac:dyDescent="0.25">
      <c r="A216">
        <v>676920</v>
      </c>
      <c r="B216" t="s">
        <v>355</v>
      </c>
      <c r="C216" t="s">
        <v>21</v>
      </c>
      <c r="D216" t="s">
        <v>14</v>
      </c>
      <c r="E216" t="s">
        <v>80</v>
      </c>
      <c r="F216" t="s">
        <v>55</v>
      </c>
      <c r="G216" t="str">
        <f>HYPERLINK(_xlfn.CONCAT("https://tablet.otzar.org/",CHAR(35),"/book/676920/p/-1/t/1/fs/0/start/0/end/0/c"),"תבנית המשכן וכליו ובגדי כהונה")</f>
        <v>תבנית המשכן וכליו ובגדי כהונה</v>
      </c>
      <c r="H216" t="str">
        <f>_xlfn.CONCAT("https://tablet.otzar.org/",CHAR(35),"/book/676920/p/-1/t/1/fs/0/start/0/end/0/c")</f>
        <v>https://tablet.otzar.org/#/book/676920/p/-1/t/1/fs/0/start/0/end/0/c</v>
      </c>
    </row>
    <row r="217" spans="1:8" x14ac:dyDescent="0.25">
      <c r="A217">
        <v>602561</v>
      </c>
      <c r="B217" t="s">
        <v>356</v>
      </c>
      <c r="C217" t="s">
        <v>357</v>
      </c>
      <c r="D217" t="s">
        <v>14</v>
      </c>
      <c r="E217" t="s">
        <v>342</v>
      </c>
      <c r="F217" t="s">
        <v>155</v>
      </c>
      <c r="G217" t="str">
        <f>HYPERLINK(_xlfn.CONCAT("https://tablet.otzar.org/",CHAR(35),"/exKotar/602561"),"תהלה לדוד &lt;מהדורה חדשה&gt;  - 2 כרכים")</f>
        <v>תהלה לדוד &lt;מהדורה חדשה&gt;  - 2 כרכים</v>
      </c>
      <c r="H217" t="str">
        <f>_xlfn.CONCAT("https://tablet.otzar.org/",CHAR(35),"/exKotar/602561")</f>
        <v>https://tablet.otzar.org/#/exKotar/602561</v>
      </c>
    </row>
    <row r="218" spans="1:8" x14ac:dyDescent="0.25">
      <c r="A218">
        <v>674963</v>
      </c>
      <c r="B218" t="s">
        <v>358</v>
      </c>
      <c r="C218" t="s">
        <v>21</v>
      </c>
      <c r="D218" t="s">
        <v>14</v>
      </c>
      <c r="E218" t="s">
        <v>41</v>
      </c>
      <c r="F218" t="s">
        <v>24</v>
      </c>
      <c r="G218" t="str">
        <f>HYPERLINK(_xlfn.CONCAT("https://tablet.otzar.org/",CHAR(35),"/exKotar/674963"),"תהלים המבואר מתיבתא - 2 כרכים")</f>
        <v>תהלים המבואר מתיבתא - 2 כרכים</v>
      </c>
      <c r="H218" t="str">
        <f>_xlfn.CONCAT("https://tablet.otzar.org/",CHAR(35),"/exKotar/674963")</f>
        <v>https://tablet.otzar.org/#/exKotar/674963</v>
      </c>
    </row>
    <row r="219" spans="1:8" x14ac:dyDescent="0.25">
      <c r="A219">
        <v>602554</v>
      </c>
      <c r="B219" t="s">
        <v>359</v>
      </c>
      <c r="C219" t="s">
        <v>360</v>
      </c>
      <c r="D219" t="s">
        <v>14</v>
      </c>
      <c r="E219" t="s">
        <v>342</v>
      </c>
      <c r="F219" t="s">
        <v>24</v>
      </c>
      <c r="G219" t="str">
        <f>HYPERLINK(_xlfn.CONCAT("https://tablet.otzar.org/",CHAR(35),"/exKotar/602554"),"תורת החיד""""א - 5 כרכים")</f>
        <v>תורת החיד""א - 5 כרכים</v>
      </c>
      <c r="H219" t="str">
        <f>_xlfn.CONCAT("https://tablet.otzar.org/",CHAR(35),"/exKotar/602554")</f>
        <v>https://tablet.otzar.org/#/exKotar/602554</v>
      </c>
    </row>
    <row r="220" spans="1:8" x14ac:dyDescent="0.25">
      <c r="A220">
        <v>677648</v>
      </c>
      <c r="B220" t="s">
        <v>361</v>
      </c>
      <c r="C220" t="s">
        <v>362</v>
      </c>
      <c r="D220" t="s">
        <v>14</v>
      </c>
      <c r="E220" t="s">
        <v>38</v>
      </c>
      <c r="F220" t="s">
        <v>32</v>
      </c>
      <c r="G220" t="str">
        <f>HYPERLINK(_xlfn.CONCAT("https://tablet.otzar.org/",CHAR(35),"/book/677648/p/-1/t/1/fs/0/start/0/end/0/c"),"תורת השעטנז")</f>
        <v>תורת השעטנז</v>
      </c>
      <c r="H220" t="str">
        <f>_xlfn.CONCAT("https://tablet.otzar.org/",CHAR(35),"/book/677648/p/-1/t/1/fs/0/start/0/end/0/c")</f>
        <v>https://tablet.otzar.org/#/book/677648/p/-1/t/1/fs/0/start/0/end/0/c</v>
      </c>
    </row>
    <row r="221" spans="1:8" x14ac:dyDescent="0.25">
      <c r="A221">
        <v>602471</v>
      </c>
      <c r="B221" t="s">
        <v>363</v>
      </c>
      <c r="C221" t="s">
        <v>364</v>
      </c>
      <c r="D221" t="s">
        <v>14</v>
      </c>
      <c r="E221" t="s">
        <v>82</v>
      </c>
      <c r="G221" t="str">
        <f>HYPERLINK(_xlfn.CONCAT("https://tablet.otzar.org/",CHAR(35),"/exKotar/602471"),"תורת כהנים &lt;מהדורת צוקר&gt;  - 2 כרכים")</f>
        <v>תורת כהנים &lt;מהדורת צוקר&gt;  - 2 כרכים</v>
      </c>
      <c r="H221" t="str">
        <f>_xlfn.CONCAT("https://tablet.otzar.org/",CHAR(35),"/exKotar/602471")</f>
        <v>https://tablet.otzar.org/#/exKotar/602471</v>
      </c>
    </row>
    <row r="222" spans="1:8" x14ac:dyDescent="0.25">
      <c r="A222">
        <v>677649</v>
      </c>
      <c r="B222" t="s">
        <v>365</v>
      </c>
      <c r="C222" t="s">
        <v>366</v>
      </c>
      <c r="D222" t="s">
        <v>14</v>
      </c>
      <c r="E222" t="s">
        <v>163</v>
      </c>
      <c r="F222" t="s">
        <v>55</v>
      </c>
      <c r="G222" t="str">
        <f>HYPERLINK(_xlfn.CONCAT("https://tablet.otzar.org/",CHAR(35),"/exKotar/677649"),"תורת כהנים &lt;עוז והדר&gt; עם פירוש חדש - 2 כרכים")</f>
        <v>תורת כהנים &lt;עוז והדר&gt; עם פירוש חדש - 2 כרכים</v>
      </c>
      <c r="H222" t="str">
        <f>_xlfn.CONCAT("https://tablet.otzar.org/",CHAR(35),"/exKotar/677649")</f>
        <v>https://tablet.otzar.org/#/exKotar/677649</v>
      </c>
    </row>
    <row r="223" spans="1:8" x14ac:dyDescent="0.25">
      <c r="A223">
        <v>674964</v>
      </c>
      <c r="B223" t="s">
        <v>367</v>
      </c>
      <c r="C223" t="s">
        <v>368</v>
      </c>
      <c r="D223" t="s">
        <v>14</v>
      </c>
      <c r="E223" t="s">
        <v>160</v>
      </c>
      <c r="F223" t="s">
        <v>57</v>
      </c>
      <c r="G223" t="str">
        <f>HYPERLINK(_xlfn.CONCAT("https://tablet.otzar.org/",CHAR(35),"/book/674964/p/-1/t/1/fs/0/start/0/end/0/c"),"תחינות &lt;עוז והדר&gt;")</f>
        <v>תחינות &lt;עוז והדר&gt;</v>
      </c>
      <c r="H223" t="str">
        <f>_xlfn.CONCAT("https://tablet.otzar.org/",CHAR(35),"/book/674964/p/-1/t/1/fs/0/start/0/end/0/c")</f>
        <v>https://tablet.otzar.org/#/book/674964/p/-1/t/1/fs/0/start/0/end/0/c</v>
      </c>
    </row>
    <row r="224" spans="1:8" x14ac:dyDescent="0.25">
      <c r="A224">
        <v>674891</v>
      </c>
      <c r="B224" t="s">
        <v>369</v>
      </c>
      <c r="C224" t="s">
        <v>370</v>
      </c>
      <c r="D224" t="s">
        <v>14</v>
      </c>
      <c r="E224" t="s">
        <v>80</v>
      </c>
      <c r="F224" t="s">
        <v>57</v>
      </c>
      <c r="G224" t="str">
        <f>HYPERLINK(_xlfn.CONCAT("https://tablet.otzar.org/",CHAR(35),"/book/674891/p/-1/t/1/fs/0/start/0/end/0/c"),"תיקון ליל שבועות &lt;עוז והדר&gt;")</f>
        <v>תיקון ליל שבועות &lt;עוז והדר&gt;</v>
      </c>
      <c r="H224" t="str">
        <f>_xlfn.CONCAT("https://tablet.otzar.org/",CHAR(35),"/book/674891/p/-1/t/1/fs/0/start/0/end/0/c")</f>
        <v>https://tablet.otzar.org/#/book/674891/p/-1/t/1/fs/0/start/0/end/0/c</v>
      </c>
    </row>
    <row r="225" spans="1:8" x14ac:dyDescent="0.25">
      <c r="A225">
        <v>602479</v>
      </c>
      <c r="B225" t="s">
        <v>371</v>
      </c>
      <c r="C225" t="s">
        <v>21</v>
      </c>
      <c r="D225" t="s">
        <v>14</v>
      </c>
      <c r="E225" t="s">
        <v>26</v>
      </c>
      <c r="F225" t="s">
        <v>42</v>
      </c>
      <c r="G225" t="str">
        <f>HYPERLINK(_xlfn.CONCAT("https://tablet.otzar.org/",CHAR(35),"/exKotar/602479"),"תלמוד בבלי &lt;עוז והדר&gt; המורחב  - 41 כרכים")</f>
        <v>תלמוד בבלי &lt;עוז והדר&gt; המורחב  - 41 כרכים</v>
      </c>
      <c r="H225" t="str">
        <f>_xlfn.CONCAT("https://tablet.otzar.org/",CHAR(35),"/exKotar/602479")</f>
        <v>https://tablet.otzar.org/#/exKotar/602479</v>
      </c>
    </row>
    <row r="226" spans="1:8" x14ac:dyDescent="0.25">
      <c r="A226">
        <v>628287</v>
      </c>
      <c r="B226" t="s">
        <v>372</v>
      </c>
      <c r="C226" t="s">
        <v>21</v>
      </c>
      <c r="D226" t="s">
        <v>14</v>
      </c>
      <c r="F226" t="s">
        <v>42</v>
      </c>
      <c r="G226" t="str">
        <f>HYPERLINK(_xlfn.CONCAT("https://tablet.otzar.org/",CHAR(35),"/exKotar/628287"),"תלמוד בבלי &lt;שפה ברורה&gt;  - 43 כרכים")</f>
        <v>תלמוד בבלי &lt;שפה ברורה&gt;  - 43 כרכים</v>
      </c>
      <c r="H226" t="str">
        <f>_xlfn.CONCAT("https://tablet.otzar.org/",CHAR(35),"/exKotar/628287")</f>
        <v>https://tablet.otzar.org/#/exKotar/628287</v>
      </c>
    </row>
    <row r="227" spans="1:8" x14ac:dyDescent="0.25">
      <c r="A227">
        <v>602379</v>
      </c>
      <c r="B227" t="s">
        <v>373</v>
      </c>
      <c r="C227" t="s">
        <v>21</v>
      </c>
      <c r="D227" t="s">
        <v>14</v>
      </c>
      <c r="E227" t="s">
        <v>26</v>
      </c>
      <c r="F227" t="s">
        <v>42</v>
      </c>
      <c r="G227" t="str">
        <f>HYPERLINK(_xlfn.CONCAT("https://tablet.otzar.org/",CHAR(35),"/exKotar/602379"),"תלמוד בבלי מנוקד &lt;עוז והדר&gt;  - 21 כרכים")</f>
        <v>תלמוד בבלי מנוקד &lt;עוז והדר&gt;  - 21 כרכים</v>
      </c>
      <c r="H227" t="str">
        <f>_xlfn.CONCAT("https://tablet.otzar.org/",CHAR(35),"/exKotar/602379")</f>
        <v>https://tablet.otzar.org/#/exKotar/602379</v>
      </c>
    </row>
    <row r="228" spans="1:8" x14ac:dyDescent="0.25">
      <c r="A228">
        <v>679024</v>
      </c>
      <c r="B228" t="s">
        <v>374</v>
      </c>
      <c r="C228" t="s">
        <v>21</v>
      </c>
      <c r="D228" t="s">
        <v>14</v>
      </c>
      <c r="E228" t="s">
        <v>26</v>
      </c>
      <c r="F228" t="s">
        <v>229</v>
      </c>
      <c r="G228" t="str">
        <f>HYPERLINK(_xlfn.CONCAT("https://tablet.otzar.org/",CHAR(35),"/exKotar/679024"),"תלמוד ירושלמי &lt;עוז והדר&gt;  - 67 כרכים")</f>
        <v>תלמוד ירושלמי &lt;עוז והדר&gt;  - 67 כרכים</v>
      </c>
      <c r="H228" t="str">
        <f>_xlfn.CONCAT("https://tablet.otzar.org/",CHAR(35),"/exKotar/679024")</f>
        <v>https://tablet.otzar.org/#/exKotar/679024</v>
      </c>
    </row>
    <row r="229" spans="1:8" x14ac:dyDescent="0.25">
      <c r="A229">
        <v>602630</v>
      </c>
      <c r="B229" t="s">
        <v>375</v>
      </c>
      <c r="C229" t="s">
        <v>376</v>
      </c>
      <c r="D229" t="s">
        <v>14</v>
      </c>
      <c r="E229" t="s">
        <v>377</v>
      </c>
      <c r="F229" t="s">
        <v>16</v>
      </c>
      <c r="G229" t="str">
        <f>HYPERLINK(_xlfn.CONCAT("https://tablet.otzar.org/",CHAR(35),"/book/602630/p/-1/t/1/fs/0/start/0/end/0/c"),"תפארת שלמה &lt;מהדורה חדשה&gt;  - מועדים")</f>
        <v>תפארת שלמה &lt;מהדורה חדשה&gt;  - מועדים</v>
      </c>
      <c r="H229" t="str">
        <f>_xlfn.CONCAT("https://tablet.otzar.org/",CHAR(35),"/book/602630/p/-1/t/1/fs/0/start/0/end/0/c")</f>
        <v>https://tablet.otzar.org/#/book/602630/p/-1/t/1/fs/0/start/0/end/0/c</v>
      </c>
    </row>
    <row r="230" spans="1:8" x14ac:dyDescent="0.25">
      <c r="A230">
        <v>674879</v>
      </c>
      <c r="B230" t="s">
        <v>378</v>
      </c>
      <c r="C230" t="s">
        <v>376</v>
      </c>
      <c r="D230" t="s">
        <v>14</v>
      </c>
      <c r="E230" t="s">
        <v>80</v>
      </c>
      <c r="F230" t="s">
        <v>24</v>
      </c>
      <c r="G230" t="str">
        <f>HYPERLINK(_xlfn.CONCAT("https://tablet.otzar.org/",CHAR(35),"/exKotar/674879"),"תפארת שלמה המפואר - 4 כרכים")</f>
        <v>תפארת שלמה המפואר - 4 כרכים</v>
      </c>
      <c r="H230" t="str">
        <f>_xlfn.CONCAT("https://tablet.otzar.org/",CHAR(35),"/exKotar/674879")</f>
        <v>https://tablet.otzar.org/#/exKotar/674879</v>
      </c>
    </row>
    <row r="231" spans="1:8" x14ac:dyDescent="0.25">
      <c r="A231">
        <v>677651</v>
      </c>
      <c r="B231" t="s">
        <v>379</v>
      </c>
      <c r="C231" t="s">
        <v>380</v>
      </c>
      <c r="D231" t="s">
        <v>14</v>
      </c>
      <c r="E231" t="s">
        <v>80</v>
      </c>
      <c r="F231" t="s">
        <v>24</v>
      </c>
      <c r="G231" t="str">
        <f>HYPERLINK(_xlfn.CONCAT("https://tablet.otzar.org/",CHAR(35),"/exKotar/677651"),"תפוחי זהב - 2 כרכים")</f>
        <v>תפוחי זהב - 2 כרכים</v>
      </c>
      <c r="H231" t="str">
        <f>_xlfn.CONCAT("https://tablet.otzar.org/",CHAR(35),"/exKotar/677651")</f>
        <v>https://tablet.otzar.org/#/exKotar/677651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books מאגרים - עוז והדר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2025-03-24T17:17:42Z</dcterms:created>
  <dcterms:modified xsi:type="dcterms:W3CDTF">2025-03-24T17:17:42Z</dcterms:modified>
</cp:coreProperties>
</file>