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5.1\s\Root\booklists\23\"/>
    </mc:Choice>
  </mc:AlternateContent>
  <xr:revisionPtr revIDLastSave="0" documentId="8_{45F39572-0DD9-4BDC-AF21-6FED408C07BF}" xr6:coauthVersionLast="47" xr6:coauthVersionMax="47" xr10:uidLastSave="{00000000-0000-0000-0000-000000000000}"/>
  <bookViews>
    <workbookView xWindow="345" yWindow="2340" windowWidth="26625" windowHeight="12405" xr2:uid="{73CA3EB8-1628-47DE-BFE6-D11E2AD1ED07}"/>
  </bookViews>
  <sheets>
    <sheet name="List of books מאגרים - אוסף סטפ" sheetId="1" r:id="rId1"/>
  </sheets>
  <calcPr calcId="0"/>
</workbook>
</file>

<file path=xl/calcChain.xml><?xml version="1.0" encoding="utf-8"?>
<calcChain xmlns="http://schemas.openxmlformats.org/spreadsheetml/2006/main">
  <c r="G2" i="1" l="1"/>
  <c r="H2" i="1"/>
  <c r="G3" i="1"/>
  <c r="H3" i="1"/>
  <c r="G4" i="1"/>
  <c r="H4" i="1"/>
  <c r="G5" i="1"/>
  <c r="H5" i="1"/>
  <c r="G6" i="1"/>
  <c r="H6" i="1"/>
  <c r="G7" i="1"/>
  <c r="H7" i="1"/>
  <c r="G8" i="1"/>
  <c r="H8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G47" i="1"/>
  <c r="H47" i="1"/>
  <c r="G48" i="1"/>
  <c r="H48" i="1"/>
  <c r="G49" i="1"/>
  <c r="H49" i="1"/>
  <c r="G50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G62" i="1"/>
  <c r="H62" i="1"/>
  <c r="G63" i="1"/>
  <c r="H63" i="1"/>
  <c r="G64" i="1"/>
  <c r="H64" i="1"/>
  <c r="G65" i="1"/>
  <c r="H65" i="1"/>
  <c r="G66" i="1"/>
  <c r="H66" i="1"/>
  <c r="G67" i="1"/>
  <c r="H67" i="1"/>
  <c r="G68" i="1"/>
  <c r="H68" i="1"/>
  <c r="G69" i="1"/>
  <c r="H69" i="1"/>
  <c r="G70" i="1"/>
  <c r="H70" i="1"/>
  <c r="G71" i="1"/>
  <c r="H71" i="1"/>
  <c r="G72" i="1"/>
  <c r="H72" i="1"/>
  <c r="G73" i="1"/>
  <c r="H73" i="1"/>
  <c r="G74" i="1"/>
  <c r="H74" i="1"/>
  <c r="G75" i="1"/>
  <c r="H75" i="1"/>
  <c r="G76" i="1"/>
  <c r="H76" i="1"/>
  <c r="G77" i="1"/>
  <c r="H77" i="1"/>
  <c r="G78" i="1"/>
  <c r="H78" i="1"/>
  <c r="G79" i="1"/>
  <c r="H79" i="1"/>
  <c r="G80" i="1"/>
  <c r="H80" i="1"/>
  <c r="G81" i="1"/>
  <c r="H81" i="1"/>
  <c r="G82" i="1"/>
  <c r="H82" i="1"/>
  <c r="G83" i="1"/>
  <c r="H83" i="1"/>
  <c r="G84" i="1"/>
  <c r="H84" i="1"/>
  <c r="G85" i="1"/>
  <c r="H85" i="1"/>
  <c r="G86" i="1"/>
  <c r="H86" i="1"/>
  <c r="G87" i="1"/>
  <c r="H87" i="1"/>
  <c r="G88" i="1"/>
  <c r="H88" i="1"/>
  <c r="G89" i="1"/>
  <c r="H89" i="1"/>
  <c r="G90" i="1"/>
  <c r="H90" i="1"/>
  <c r="G91" i="1"/>
  <c r="H91" i="1"/>
  <c r="G92" i="1"/>
  <c r="H92" i="1"/>
  <c r="G93" i="1"/>
  <c r="H93" i="1"/>
  <c r="G94" i="1"/>
  <c r="H94" i="1"/>
  <c r="G95" i="1"/>
  <c r="H95" i="1"/>
  <c r="G96" i="1"/>
  <c r="H96" i="1"/>
  <c r="G97" i="1"/>
  <c r="H97" i="1"/>
  <c r="G98" i="1"/>
  <c r="H98" i="1"/>
  <c r="G99" i="1"/>
  <c r="H99" i="1"/>
  <c r="G100" i="1"/>
  <c r="H100" i="1"/>
  <c r="G101" i="1"/>
  <c r="H101" i="1"/>
  <c r="G102" i="1"/>
  <c r="H102" i="1"/>
  <c r="G103" i="1"/>
  <c r="H103" i="1"/>
  <c r="G104" i="1"/>
  <c r="H104" i="1"/>
  <c r="G105" i="1"/>
  <c r="H105" i="1"/>
  <c r="G106" i="1"/>
  <c r="H106" i="1"/>
  <c r="G107" i="1"/>
  <c r="H107" i="1"/>
  <c r="G108" i="1"/>
  <c r="H108" i="1"/>
  <c r="G109" i="1"/>
  <c r="H109" i="1"/>
  <c r="G110" i="1"/>
  <c r="H110" i="1"/>
  <c r="G111" i="1"/>
  <c r="H111" i="1"/>
  <c r="G112" i="1"/>
  <c r="H112" i="1"/>
  <c r="G113" i="1"/>
  <c r="H113" i="1"/>
  <c r="G114" i="1"/>
  <c r="H114" i="1"/>
  <c r="G115" i="1"/>
  <c r="H115" i="1"/>
  <c r="G116" i="1"/>
  <c r="H116" i="1"/>
  <c r="G117" i="1"/>
  <c r="H117" i="1"/>
  <c r="G118" i="1"/>
  <c r="H118" i="1"/>
  <c r="G119" i="1"/>
  <c r="H119" i="1"/>
  <c r="G120" i="1"/>
  <c r="H120" i="1"/>
  <c r="G121" i="1"/>
  <c r="H121" i="1"/>
  <c r="G122" i="1"/>
  <c r="H122" i="1"/>
  <c r="G123" i="1"/>
  <c r="H123" i="1"/>
  <c r="G124" i="1"/>
  <c r="H124" i="1"/>
  <c r="G125" i="1"/>
  <c r="H125" i="1"/>
  <c r="G126" i="1"/>
  <c r="H126" i="1"/>
  <c r="G127" i="1"/>
  <c r="H127" i="1"/>
  <c r="G128" i="1"/>
  <c r="H128" i="1"/>
  <c r="G129" i="1"/>
  <c r="H129" i="1"/>
  <c r="G130" i="1"/>
  <c r="H130" i="1"/>
  <c r="G131" i="1"/>
  <c r="H131" i="1"/>
  <c r="G132" i="1"/>
  <c r="H132" i="1"/>
  <c r="G133" i="1"/>
  <c r="H133" i="1"/>
  <c r="G134" i="1"/>
  <c r="H134" i="1"/>
  <c r="G135" i="1"/>
  <c r="H135" i="1"/>
  <c r="G136" i="1"/>
  <c r="H136" i="1"/>
  <c r="G137" i="1"/>
  <c r="H137" i="1"/>
  <c r="G138" i="1"/>
  <c r="H138" i="1"/>
  <c r="G139" i="1"/>
  <c r="H139" i="1"/>
  <c r="G140" i="1"/>
  <c r="H140" i="1"/>
  <c r="G141" i="1"/>
  <c r="H141" i="1"/>
  <c r="G142" i="1"/>
  <c r="H142" i="1"/>
  <c r="G143" i="1"/>
  <c r="H143" i="1"/>
  <c r="G144" i="1"/>
  <c r="H144" i="1"/>
  <c r="G145" i="1"/>
  <c r="H145" i="1"/>
  <c r="G146" i="1"/>
  <c r="H146" i="1"/>
  <c r="G147" i="1"/>
  <c r="H147" i="1"/>
  <c r="G148" i="1"/>
  <c r="H148" i="1"/>
  <c r="G149" i="1"/>
  <c r="H149" i="1"/>
  <c r="G150" i="1"/>
  <c r="H150" i="1"/>
  <c r="G151" i="1"/>
  <c r="H151" i="1"/>
  <c r="G152" i="1"/>
  <c r="H152" i="1"/>
  <c r="G153" i="1"/>
  <c r="H153" i="1"/>
  <c r="G154" i="1"/>
  <c r="H154" i="1"/>
  <c r="G155" i="1"/>
  <c r="H155" i="1"/>
  <c r="G156" i="1"/>
  <c r="H156" i="1"/>
  <c r="G157" i="1"/>
  <c r="H157" i="1"/>
  <c r="G158" i="1"/>
  <c r="H158" i="1"/>
  <c r="G159" i="1"/>
  <c r="H159" i="1"/>
  <c r="G160" i="1"/>
  <c r="H160" i="1"/>
  <c r="G161" i="1"/>
  <c r="H161" i="1"/>
  <c r="G162" i="1"/>
  <c r="H162" i="1"/>
  <c r="G163" i="1"/>
  <c r="H163" i="1"/>
  <c r="G164" i="1"/>
  <c r="H164" i="1"/>
  <c r="G165" i="1"/>
  <c r="H165" i="1"/>
  <c r="G166" i="1"/>
  <c r="H166" i="1"/>
  <c r="G167" i="1"/>
  <c r="H167" i="1"/>
  <c r="G168" i="1"/>
  <c r="H168" i="1"/>
  <c r="G169" i="1"/>
  <c r="H169" i="1"/>
  <c r="G170" i="1"/>
  <c r="H170" i="1"/>
  <c r="G171" i="1"/>
  <c r="H171" i="1"/>
  <c r="G172" i="1"/>
  <c r="H172" i="1"/>
  <c r="G173" i="1"/>
  <c r="H173" i="1"/>
  <c r="G174" i="1"/>
  <c r="H174" i="1"/>
  <c r="G175" i="1"/>
  <c r="H175" i="1"/>
  <c r="G176" i="1"/>
  <c r="H176" i="1"/>
  <c r="G177" i="1"/>
  <c r="H177" i="1"/>
  <c r="G178" i="1"/>
  <c r="H178" i="1"/>
  <c r="G179" i="1"/>
  <c r="H179" i="1"/>
  <c r="G180" i="1"/>
  <c r="H180" i="1"/>
  <c r="G181" i="1"/>
  <c r="H181" i="1"/>
  <c r="G182" i="1"/>
  <c r="H182" i="1"/>
  <c r="G183" i="1"/>
  <c r="H183" i="1"/>
  <c r="G184" i="1"/>
  <c r="H184" i="1"/>
  <c r="G185" i="1"/>
  <c r="H185" i="1"/>
  <c r="G186" i="1"/>
  <c r="H186" i="1"/>
  <c r="G187" i="1"/>
  <c r="H187" i="1"/>
  <c r="G188" i="1"/>
  <c r="H188" i="1"/>
  <c r="G189" i="1"/>
  <c r="H189" i="1"/>
  <c r="G190" i="1"/>
  <c r="H190" i="1"/>
  <c r="G191" i="1"/>
  <c r="H191" i="1"/>
  <c r="G192" i="1"/>
  <c r="H192" i="1"/>
  <c r="G193" i="1"/>
  <c r="H193" i="1"/>
</calcChain>
</file>

<file path=xl/sharedStrings.xml><?xml version="1.0" encoding="utf-8"?>
<sst xmlns="http://schemas.openxmlformats.org/spreadsheetml/2006/main" count="898" uniqueCount="550">
  <si>
    <t>מספר ספר</t>
  </si>
  <si>
    <t xml:space="preserve"> שם ספר</t>
  </si>
  <si>
    <t xml:space="preserve"> שם מחבר</t>
  </si>
  <si>
    <t xml:space="preserve"> מקום הדפסה</t>
  </si>
  <si>
    <t xml:space="preserve"> שנת הדפסה</t>
  </si>
  <si>
    <t xml:space="preserve"> נושאים</t>
  </si>
  <si>
    <t xml:space="preserve"> קישור</t>
  </si>
  <si>
    <t xml:space="preserve"> LINK</t>
  </si>
  <si>
    <t>אגרת התשובה &lt;דפו"ר&gt;</t>
  </si>
  <si>
    <t>גירונדי, יונה בן אברהם</t>
  </si>
  <si>
    <t>פראג</t>
  </si>
  <si>
    <t>שנ"ו</t>
  </si>
  <si>
    <t>מחשבה ומוסר</t>
  </si>
  <si>
    <t>אגרת מספרת יחסותא דצדיקי דארעא דישראל</t>
  </si>
  <si>
    <t>איגרת מספרת יחסותא דצדיקי. תל"ו</t>
  </si>
  <si>
    <t>מנטובה</t>
  </si>
  <si>
    <t>תל"ו</t>
  </si>
  <si>
    <t>נושאים שונים</t>
  </si>
  <si>
    <t>אגרת שמואל &lt;דפו"ר&gt;</t>
  </si>
  <si>
    <t>די אוזידא, שמואל בן יצחק</t>
  </si>
  <si>
    <t>קושטא</t>
  </si>
  <si>
    <t>שנ"ז</t>
  </si>
  <si>
    <t>תנ''ך</t>
  </si>
  <si>
    <t>אהבת ציון</t>
  </si>
  <si>
    <t>היילפרין, אברהם בן משה</t>
  </si>
  <si>
    <t>לובלין</t>
  </si>
  <si>
    <t>שצ"ט</t>
  </si>
  <si>
    <t>אור השכל</t>
  </si>
  <si>
    <t>אברהם בן אשר</t>
  </si>
  <si>
    <t>ונציה</t>
  </si>
  <si>
    <t>שכ"ז - שכ"ח</t>
  </si>
  <si>
    <t>שאר ספרי חז''ל, תנ''ך</t>
  </si>
  <si>
    <t>אורח לחיים</t>
  </si>
  <si>
    <t>לונטשיץ, שלמה אפרים בן אהרן</t>
  </si>
  <si>
    <t>שנ"ה</t>
  </si>
  <si>
    <t>דרושים</t>
  </si>
  <si>
    <t>אורים והתומים</t>
  </si>
  <si>
    <t>בכרך, אברהם אהרן בן מנחם מן</t>
  </si>
  <si>
    <t>אמשטרדם</t>
  </si>
  <si>
    <t>תי"ג</t>
  </si>
  <si>
    <t>אליה מזרחי &lt;הרא"ם - המזרחי&gt;</t>
  </si>
  <si>
    <t>מזרחי, אליהו בן אברהם</t>
  </si>
  <si>
    <t>פיורדא</t>
  </si>
  <si>
    <t>תקכ"ג</t>
  </si>
  <si>
    <t>אמרי בינה</t>
  </si>
  <si>
    <t>יששכר בר בן משה פתחיה</t>
  </si>
  <si>
    <t>פרג</t>
  </si>
  <si>
    <t>שע"א</t>
  </si>
  <si>
    <t>קבלה</t>
  </si>
  <si>
    <t>ארבעה ועשרים &lt;מנחת שי&gt;  - 3 כרכים</t>
  </si>
  <si>
    <t>נורצי, ידידיה שלמה רפאל בן אברהם</t>
  </si>
  <si>
    <t>תק"ב - תק"ד</t>
  </si>
  <si>
    <t>באר מים חיים</t>
  </si>
  <si>
    <t>שפירא, יעקב בן יצחק הכהן</t>
  </si>
  <si>
    <t>קראקא</t>
  </si>
  <si>
    <t>שע"ו</t>
  </si>
  <si>
    <t>ביאור רמב"ן על התורה</t>
  </si>
  <si>
    <t>משה בן נחמן (רמב"ן)</t>
  </si>
  <si>
    <t>ויניציאה</t>
  </si>
  <si>
    <t>ש"ה</t>
  </si>
  <si>
    <t>ביאורים על רש"י על התורה &lt;מוהר"נ שפירא&gt;</t>
  </si>
  <si>
    <t>שפירא, נתן בן שמשון</t>
  </si>
  <si>
    <t>שנ"ג</t>
  </si>
  <si>
    <t>בית אברהם</t>
  </si>
  <si>
    <t>דנציג, אברהם בן יחיאל מיכל</t>
  </si>
  <si>
    <t>וילנא</t>
  </si>
  <si>
    <t>תקפ"א</t>
  </si>
  <si>
    <t>בית תפלה</t>
  </si>
  <si>
    <t>תפילות. סידור. תצ"ה. קושטא</t>
  </si>
  <si>
    <t>תצ"ה</t>
  </si>
  <si>
    <t>בני שמואל</t>
  </si>
  <si>
    <t>חאיון, שמואל בן יצחק</t>
  </si>
  <si>
    <t>שאלוניקי</t>
  </si>
  <si>
    <t>שע"ג</t>
  </si>
  <si>
    <t>הלכה ומנהג</t>
  </si>
  <si>
    <t>ברכת אברהם</t>
  </si>
  <si>
    <t>טריוויש, אברהם בן שלמה</t>
  </si>
  <si>
    <t>שי"ב</t>
  </si>
  <si>
    <t>גבעת המורה</t>
  </si>
  <si>
    <t>יוסף בן יצחק הלוי מפראג</t>
  </si>
  <si>
    <t>שע"ב</t>
  </si>
  <si>
    <t>דברי שלום &lt;דפו"ר&gt;</t>
  </si>
  <si>
    <t>אדרבי, יצחק בן שמואל</t>
  </si>
  <si>
    <t>שמ</t>
  </si>
  <si>
    <t>דרך אמונה</t>
  </si>
  <si>
    <t>ביבאגי, אברהם בן שם טוב</t>
  </si>
  <si>
    <t>רפ"ב</t>
  </si>
  <si>
    <t>דרך חיים</t>
  </si>
  <si>
    <t>יהודה ליווא בן בצלאל (מהר"ל מפראג)</t>
  </si>
  <si>
    <t>ורשה|ווארשא</t>
  </si>
  <si>
    <t>תקצ"ג</t>
  </si>
  <si>
    <t>משנה</t>
  </si>
  <si>
    <t>דרך ישרה</t>
  </si>
  <si>
    <t>שיק, ברוך בן יעקב</t>
  </si>
  <si>
    <t>האג</t>
  </si>
  <si>
    <t>תקל"ט</t>
  </si>
  <si>
    <t>דרך תבונות</t>
  </si>
  <si>
    <t>לוצאטו, משה חיים בן יעקב חי (רמח"ל)</t>
  </si>
  <si>
    <t>תק"ב</t>
  </si>
  <si>
    <t>דרשה לפרשת במדבר</t>
  </si>
  <si>
    <t>ישעיה בן מאיר סופר</t>
  </si>
  <si>
    <t>קראקא?</t>
  </si>
  <si>
    <t>דרשות התורה</t>
  </si>
  <si>
    <t>אבן שם טוב, שם טוב בן יוסף</t>
  </si>
  <si>
    <t>שאלוניק</t>
  </si>
  <si>
    <t>רפ"ה</t>
  </si>
  <si>
    <t>היכל ה'</t>
  </si>
  <si>
    <t>לוריא, יחיאל בן ישראל</t>
  </si>
  <si>
    <t>שס"א</t>
  </si>
  <si>
    <t>הלכות דעות</t>
  </si>
  <si>
    <t>משה בן מימון (רמב"ם)</t>
  </si>
  <si>
    <t>קרקוב</t>
  </si>
  <si>
    <t>הלכות רב אלפס &lt;אמ"ד&gt;  - 2 כרכים</t>
  </si>
  <si>
    <t>אלפאסי, יצחק בן יעקב (רי"ף)</t>
  </si>
  <si>
    <t>ת"ג</t>
  </si>
  <si>
    <t>הלכות רב אלפס &lt;קושטא&gt; - 4 כרכים</t>
  </si>
  <si>
    <t>רס"ט</t>
  </si>
  <si>
    <t>תלמוד בבלי</t>
  </si>
  <si>
    <t>הנפש החכמה</t>
  </si>
  <si>
    <t>משה בן שם טוב די-ליאון</t>
  </si>
  <si>
    <t>באזל</t>
  </si>
  <si>
    <t>שס"ח</t>
  </si>
  <si>
    <t>ויכוח יוסף והשבטים</t>
  </si>
  <si>
    <t>חנוך בן אברהם</t>
  </si>
  <si>
    <t>ת"י</t>
  </si>
  <si>
    <t>זהר &lt;קרימונה&gt;  - 2 כרכים</t>
  </si>
  <si>
    <t>זוהר. שי"ט. קרמונה</t>
  </si>
  <si>
    <t>קרמונה</t>
  </si>
  <si>
    <t>שי"ט - ש"כ</t>
  </si>
  <si>
    <t>זמירות ישראל</t>
  </si>
  <si>
    <t>נאג'ארה, ישראל בן משה</t>
  </si>
  <si>
    <t>שנ"ט - ש"ס</t>
  </si>
  <si>
    <t>תפלות בקשות פיוטים ושירה</t>
  </si>
  <si>
    <t>זרע ברך</t>
  </si>
  <si>
    <t>שפירא, ברכיה ברך בן יצחק אייזיק</t>
  </si>
  <si>
    <t>ת"ו</t>
  </si>
  <si>
    <t>חבצלת השרון - 2 כרכים</t>
  </si>
  <si>
    <t>אלשיך, משה בן חיים</t>
  </si>
  <si>
    <t>קושטאנטינה</t>
  </si>
  <si>
    <t>שכ"ג</t>
  </si>
  <si>
    <t>חדושי בבא בתרא &lt;רמב"ן&gt;</t>
  </si>
  <si>
    <t>תע"ה</t>
  </si>
  <si>
    <t>חוקי רצונך - ג</t>
  </si>
  <si>
    <t>סופר, יעקב חיים בן יצחק שלום</t>
  </si>
  <si>
    <t>ירושלים</t>
  </si>
  <si>
    <t>תש"ע</t>
  </si>
  <si>
    <t>הלכה ומנהג, מועדי ישראל</t>
  </si>
  <si>
    <t>חכם צבי</t>
  </si>
  <si>
    <t>אשכנזי, צבי בן יעקב</t>
  </si>
  <si>
    <t>תע"ב</t>
  </si>
  <si>
    <t>שאלות ותשובות</t>
  </si>
  <si>
    <t>חכמת מנוח</t>
  </si>
  <si>
    <t>מנוח הנדל בן שמריה</t>
  </si>
  <si>
    <t>חכמת שלמה &lt;דפו"ר&gt; א - 2 כרכים</t>
  </si>
  <si>
    <t>לוריא, שלמה בן יחיאל (מהרש"ל)</t>
  </si>
  <si>
    <t>שמ"א</t>
  </si>
  <si>
    <t>חסדי ה'</t>
  </si>
  <si>
    <t>מרגליות, משה מרדכי בן שמואל</t>
  </si>
  <si>
    <t>שמ"ט</t>
  </si>
  <si>
    <t>חפץ ה'</t>
  </si>
  <si>
    <t>בן עטר, חיים בן משה</t>
  </si>
  <si>
    <t>תצ"ב</t>
  </si>
  <si>
    <t>חשק שלמה</t>
  </si>
  <si>
    <t>הלוי, שלמה בן יצחק הזקן - יצחק בן שלמה הלוי</t>
  </si>
  <si>
    <t>ש"ס</t>
  </si>
  <si>
    <t>טוב משה</t>
  </si>
  <si>
    <t>ספר זכרון - אייזנשטיין, משה טוביה</t>
  </si>
  <si>
    <t>בני ברק</t>
  </si>
  <si>
    <t>תשס"ח</t>
  </si>
  <si>
    <t>קבצים וכתבי עת, ספרי זכרון ויובל</t>
  </si>
  <si>
    <t>טוב שם</t>
  </si>
  <si>
    <t>אליקים בן נפתלי</t>
  </si>
  <si>
    <t>שס"ו</t>
  </si>
  <si>
    <t>טור  &lt;ב"ח דפו"ר&gt; - אורח חיים</t>
  </si>
  <si>
    <t>יעקב בן אשר (בעל הטורים)</t>
  </si>
  <si>
    <t>ת</t>
  </si>
  <si>
    <t>שלחן ערוך ומפרשיו</t>
  </si>
  <si>
    <t>טור &lt;ב"ח דפו"ר&gt; - חושן משפט</t>
  </si>
  <si>
    <t>שצ"א</t>
  </si>
  <si>
    <t>טור &lt;דרישה ופרישה דפו"ר&gt; - 2 כרכים</t>
  </si>
  <si>
    <t>יהושע פאלק בן אלכסנדר הכהן</t>
  </si>
  <si>
    <t>שצ"ה</t>
  </si>
  <si>
    <t>יבין שמועה</t>
  </si>
  <si>
    <t>אלגאזי, נסים שלמה בן אברהם</t>
  </si>
  <si>
    <t>יוסף דעת</t>
  </si>
  <si>
    <t>מיקליש, יוסף בן יששכר</t>
  </si>
  <si>
    <t>שס"ט</t>
  </si>
  <si>
    <t>יחוס הצדיקים</t>
  </si>
  <si>
    <t>שכ"א</t>
  </si>
  <si>
    <t>ילקוט חדש</t>
  </si>
  <si>
    <t>ישראל בן בנימין מבלזיץ</t>
  </si>
  <si>
    <t>ת"ח</t>
  </si>
  <si>
    <t>ים של שלמה</t>
  </si>
  <si>
    <t>שצ"ג - שצ"ה</t>
  </si>
  <si>
    <t>יפה נוף</t>
  </si>
  <si>
    <t>של"ב אחרי</t>
  </si>
  <si>
    <t>יש שכר</t>
  </si>
  <si>
    <t>ישע אלהים - 2 כרכים</t>
  </si>
  <si>
    <t>פיזאנטי, משה בן חיים</t>
  </si>
  <si>
    <t>קושטאנדינא</t>
  </si>
  <si>
    <t>שכ"ז</t>
  </si>
  <si>
    <t>כד הקמח</t>
  </si>
  <si>
    <t>בחיי בן אשר אבן חלאוה</t>
  </si>
  <si>
    <t>כהנת אברהם</t>
  </si>
  <si>
    <t>אברהם בן שבתי הכהן מזאנטה</t>
  </si>
  <si>
    <t>תע"ט</t>
  </si>
  <si>
    <t>כונות האגדות</t>
  </si>
  <si>
    <t>לוצאטו, יעקב בן יצחק</t>
  </si>
  <si>
    <t>בסיליאה</t>
  </si>
  <si>
    <t>כונת שלמה</t>
  </si>
  <si>
    <t>רוקה, שלמה</t>
  </si>
  <si>
    <t>ת"ל</t>
  </si>
  <si>
    <t>כלי יקר &lt;דפו"ר&gt;</t>
  </si>
  <si>
    <t>שס"ב</t>
  </si>
  <si>
    <t>כללי התלמוד</t>
  </si>
  <si>
    <t>קארו, יוסף בן אפרים</t>
  </si>
  <si>
    <t>שנ"ח</t>
  </si>
  <si>
    <t>כתבי קודש ומליצות</t>
  </si>
  <si>
    <t>גלדר, שמעון בן אליעזר די</t>
  </si>
  <si>
    <t>תק"ך</t>
  </si>
  <si>
    <t>כתר שם טוב</t>
  </si>
  <si>
    <t>מלמד, שם טוב בן יעקב</t>
  </si>
  <si>
    <t>לב חכם</t>
  </si>
  <si>
    <t>אריפול, שמואל בן יצחק</t>
  </si>
  <si>
    <t>שמ"ו</t>
  </si>
  <si>
    <t>לבושי אור יקרות (ריקאנטי) &lt;דפו"ר&gt;</t>
  </si>
  <si>
    <t>ריקאנאטי, מנחם בן בנימין</t>
  </si>
  <si>
    <t>נושאים שונים, תנ''ך</t>
  </si>
  <si>
    <t>לחם סתרים</t>
  </si>
  <si>
    <t>טאיטאצאק, יוסף בן שלמה</t>
  </si>
  <si>
    <t>ליקוטי האור</t>
  </si>
  <si>
    <t>לוי, אריה ליב בן שמואל</t>
  </si>
  <si>
    <t>תנ"ז</t>
  </si>
  <si>
    <t>לכל חפץ</t>
  </si>
  <si>
    <t>מילי, אליעזר</t>
  </si>
  <si>
    <t>מאה שערים</t>
  </si>
  <si>
    <t>שני, יצחק בן אליהו</t>
  </si>
  <si>
    <t>ש"ג</t>
  </si>
  <si>
    <t>מאור עינים</t>
  </si>
  <si>
    <t>פינטו, יאשיהו בן יוסף (רי"ף)</t>
  </si>
  <si>
    <t>מאיר עיני חכמים</t>
  </si>
  <si>
    <t>מאיר בן גדליה (מהר"ם מלובלין)</t>
  </si>
  <si>
    <t>שע"ט - שפ"ב</t>
  </si>
  <si>
    <t>מאמר האחדות</t>
  </si>
  <si>
    <t>פיררא</t>
  </si>
  <si>
    <t>שי"ד</t>
  </si>
  <si>
    <t>מאמר מרדכי</t>
  </si>
  <si>
    <t>שמ"ה</t>
  </si>
  <si>
    <t>מבקש ה'</t>
  </si>
  <si>
    <t>חאגיז, שמואל בן יעקב</t>
  </si>
  <si>
    <t>מגדל דוד</t>
  </si>
  <si>
    <t>דוד בן יעקב הכהן</t>
  </si>
  <si>
    <t>מדע אהבה זמנים</t>
  </si>
  <si>
    <t>שכ"ו</t>
  </si>
  <si>
    <t>מדרש חמש מגילות רבתא &lt;מתנות כהונה&gt;</t>
  </si>
  <si>
    <t>מדרש. שלוניקי. שנ"ד.</t>
  </si>
  <si>
    <t>שנ"ד</t>
  </si>
  <si>
    <t>שאר ספרי חז''ל</t>
  </si>
  <si>
    <t>מדרש כונן</t>
  </si>
  <si>
    <t>מדרש כונן. ת"ח</t>
  </si>
  <si>
    <t>מזבח הזהב</t>
  </si>
  <si>
    <t>שלמה בן מרדכי ממזריטש</t>
  </si>
  <si>
    <t>מזמור לתודה</t>
  </si>
  <si>
    <t>של"ו</t>
  </si>
  <si>
    <t>מחזור הדרת קודש - 2 כרכים</t>
  </si>
  <si>
    <t>תפילות. מחזור. שנ"ט. ונציה</t>
  </si>
  <si>
    <t>מחזור מכל השנה &lt;מעגלי צדק&gt;</t>
  </si>
  <si>
    <t>בנימין בן מאיר הלוי (מעגלי צדק)</t>
  </si>
  <si>
    <t>סביונטה</t>
  </si>
  <si>
    <t>שי"ז - ש"כ</t>
  </si>
  <si>
    <t>מטה משה</t>
  </si>
  <si>
    <t>מת, משה בן אברהם</t>
  </si>
  <si>
    <t>שנ"א</t>
  </si>
  <si>
    <t>מכלול</t>
  </si>
  <si>
    <t>קמחי, דוד בן יוסף (רד"ק)</t>
  </si>
  <si>
    <t>מלאכת מחשבת</t>
  </si>
  <si>
    <t>חפץ, משה בן גרשום</t>
  </si>
  <si>
    <t>ת"ע</t>
  </si>
  <si>
    <t>מלחמה לה'</t>
  </si>
  <si>
    <t>חאגיז, משה בן ישראל יעקב</t>
  </si>
  <si>
    <t>תע"ד</t>
  </si>
  <si>
    <t>מלכי יהודה</t>
  </si>
  <si>
    <t>ביגה, יהודה בן משה</t>
  </si>
  <si>
    <t>מנורת המאור</t>
  </si>
  <si>
    <t>אבוהב, יצחק בן אברהם (הראשון)</t>
  </si>
  <si>
    <t>ויניצייאה</t>
  </si>
  <si>
    <t>ש"ד</t>
  </si>
  <si>
    <t>מסורת הברית הגדול</t>
  </si>
  <si>
    <t>אנג'יל, מאיר בן אברהם</t>
  </si>
  <si>
    <t>שפ"ב</t>
  </si>
  <si>
    <t>מסרות</t>
  </si>
  <si>
    <t>שמואל בן ריי</t>
  </si>
  <si>
    <t>שס"ז</t>
  </si>
  <si>
    <t>מפעלות אלהים</t>
  </si>
  <si>
    <t>אברבנאל, יצחק בן יהודה</t>
  </si>
  <si>
    <t>שנ"ב</t>
  </si>
  <si>
    <t>מפתח הזוהר</t>
  </si>
  <si>
    <t>גאלאנטי, משה בן מרדכי מצפת</t>
  </si>
  <si>
    <t>מפתחות פרקי המשנה והתלמוד</t>
  </si>
  <si>
    <t>שנ"ט</t>
  </si>
  <si>
    <t>מקוה ישראל</t>
  </si>
  <si>
    <t>פאנו, יהודה בן משה מסאלטארו</t>
  </si>
  <si>
    <t>מקור חכמה</t>
  </si>
  <si>
    <t>מראות אלהים</t>
  </si>
  <si>
    <t>אבן גבאי, מאיר בן יחזקאל</t>
  </si>
  <si>
    <t>מראות הצובאות - נבייאם אחרונים</t>
  </si>
  <si>
    <t>תקכ"ה</t>
  </si>
  <si>
    <t>משבית מלחמות</t>
  </si>
  <si>
    <t>משמיע ישועה</t>
  </si>
  <si>
    <t>רפ"ו</t>
  </si>
  <si>
    <t>משניות נזיקין עם תוספות יום טוב</t>
  </si>
  <si>
    <t>הלר, גרשון שאול יום-טוב ליפמאן בן נתן הלוי</t>
  </si>
  <si>
    <t>ת"ד</t>
  </si>
  <si>
    <t>משפטי שבועות &lt;דפו"ר&gt;</t>
  </si>
  <si>
    <t>האיי בן שרירא גאון</t>
  </si>
  <si>
    <t>נופת צופים</t>
  </si>
  <si>
    <t>אבן-אלפאוואל, יצחק בן חיים</t>
  </si>
  <si>
    <t>שמ"ב</t>
  </si>
  <si>
    <t>נורא תהלות - ח"ד</t>
  </si>
  <si>
    <t>אבן שועיב, יואל</t>
  </si>
  <si>
    <t>חש"ד</t>
  </si>
  <si>
    <t>נחלת צבי</t>
  </si>
  <si>
    <t>טוך פירר, צבי הירש בן שמשון</t>
  </si>
  <si>
    <t>ת"כ</t>
  </si>
  <si>
    <t>נר מצוה</t>
  </si>
  <si>
    <t>פיזנטי, משה בן חיים</t>
  </si>
  <si>
    <t>סדר ארבע תעניות</t>
  </si>
  <si>
    <t>תפילות. סליחות. תעניות. שפ"ד. ונציה</t>
  </si>
  <si>
    <t>שע"ד</t>
  </si>
  <si>
    <t>סדר הוידוי הנהוג לבני חברת מרפא לנפש</t>
  </si>
  <si>
    <t>תפילות. חולים ומתים</t>
  </si>
  <si>
    <t>רג'יו?</t>
  </si>
  <si>
    <t>תק"ע</t>
  </si>
  <si>
    <t>סדר תפלות תחנות ופזמונים</t>
  </si>
  <si>
    <t>תפילות. סידור. תפ"ו. אמשטרדם</t>
  </si>
  <si>
    <t>תפ"ו</t>
  </si>
  <si>
    <t>סליחות מכל השנה כמנהג האשכנזים</t>
  </si>
  <si>
    <t>סליחות מכל השנה</t>
  </si>
  <si>
    <t>ש"ח</t>
  </si>
  <si>
    <t>ספר הכונות &lt;ר"מ טרינקי&gt;</t>
  </si>
  <si>
    <t>לוריא, יצחק בן שלמה (האר"י)</t>
  </si>
  <si>
    <t>ש"פ</t>
  </si>
  <si>
    <t>ספר המוסר</t>
  </si>
  <si>
    <t>כאלאץ, יהודה בן שלמה</t>
  </si>
  <si>
    <t>ספר הרוקח</t>
  </si>
  <si>
    <t>אלעזר בן יהודה מגרמיזא</t>
  </si>
  <si>
    <t>קרימונה</t>
  </si>
  <si>
    <t>שי"ז</t>
  </si>
  <si>
    <t>ספר חזון</t>
  </si>
  <si>
    <t>לאנדא, יעקב ברוך בן יהודה</t>
  </si>
  <si>
    <t>ספר חרדים &lt;דפו"ר&gt;</t>
  </si>
  <si>
    <t>אזכרי, אלעזר בן משה</t>
  </si>
  <si>
    <t>ספר יוחסין</t>
  </si>
  <si>
    <t>זכות, אברהם בן שמואל</t>
  </si>
  <si>
    <t>ש"ם - שמ"א</t>
  </si>
  <si>
    <t>ספר מצות הגדול</t>
  </si>
  <si>
    <t>משה בן יעקב מקוצי</t>
  </si>
  <si>
    <t>ספר רב מרדכי</t>
  </si>
  <si>
    <t>מרדכי בן הלל</t>
  </si>
  <si>
    <t>ספרא &lt;דפו"ר&gt;</t>
  </si>
  <si>
    <t>ספרא. ש"ה</t>
  </si>
  <si>
    <t>ש"ה - ש"ו</t>
  </si>
  <si>
    <t>עבודת הקודש</t>
  </si>
  <si>
    <t>אזולאי, חיים יוסף דוד (חיד"א)</t>
  </si>
  <si>
    <t>תר"א</t>
  </si>
  <si>
    <t>עדות יעקב</t>
  </si>
  <si>
    <t>יעקב בן יקותיאל קפמאן</t>
  </si>
  <si>
    <t>הנאו</t>
  </si>
  <si>
    <t>שפ"ח</t>
  </si>
  <si>
    <t>עולת יצחק</t>
  </si>
  <si>
    <t>יצחק בן יהושע</t>
  </si>
  <si>
    <t>עומק הלכה</t>
  </si>
  <si>
    <t>יעקב קופלמאן בן שמואל בונם</t>
  </si>
  <si>
    <t>עטרת שלמה &lt;איסור והיתר למהרש"ל&gt;</t>
  </si>
  <si>
    <t>עלים לתרופה</t>
  </si>
  <si>
    <t>דובנא, שלמה בן יואל</t>
  </si>
  <si>
    <t>תקל"ח</t>
  </si>
  <si>
    <t>עמודי שלמה &lt;דפו"ר&gt;</t>
  </si>
  <si>
    <t>פירוש התורה לרבינו יעקב בן אשר &lt;בעל הטורים&gt;</t>
  </si>
  <si>
    <t>פירוש חמש מגילות</t>
  </si>
  <si>
    <t>אבן-יחיא, יוסף בן דוד</t>
  </si>
  <si>
    <t>בולוניה</t>
  </si>
  <si>
    <t>רצ"ח</t>
  </si>
  <si>
    <t>פירוש חמש מגלות</t>
  </si>
  <si>
    <t>לוי בן גרשון (רלב"ג)</t>
  </si>
  <si>
    <t>ריווא דטרינטו</t>
  </si>
  <si>
    <t>ש"ך</t>
  </si>
  <si>
    <t>פירוש מגילת אחשורוש</t>
  </si>
  <si>
    <t>סרוק, זכריה בן יהושע ן'</t>
  </si>
  <si>
    <t>שכ"ה</t>
  </si>
  <si>
    <t>פירוש על הרמב"ם</t>
  </si>
  <si>
    <t>עראמה, דוד בן אברהם</t>
  </si>
  <si>
    <t>ש"ך - של"ב</t>
  </si>
  <si>
    <t>פירוש על פירוש החכם רבי אברהם אבן עזרא &lt;מגילת סתרים&gt;</t>
  </si>
  <si>
    <t>אבן-מטוט, שמואל בן סעדיה</t>
  </si>
  <si>
    <t>פירוש רבינו בחיי על התורה - 2 כרכים</t>
  </si>
  <si>
    <t>ויניצייה</t>
  </si>
  <si>
    <t>פירוש רלב"ג על התורה</t>
  </si>
  <si>
    <t>ש"ז</t>
  </si>
  <si>
    <t>פירוש רש"י על התורה</t>
  </si>
  <si>
    <t>שלמה בן יצחק (רש"י)</t>
  </si>
  <si>
    <t>סביוניטה</t>
  </si>
  <si>
    <t>פלגי מים</t>
  </si>
  <si>
    <t>פורטו, משה בן יחיאל הכהן</t>
  </si>
  <si>
    <t>פני משה</t>
  </si>
  <si>
    <t>יפה, משה בן יששכר</t>
  </si>
  <si>
    <t>תמ"א</t>
  </si>
  <si>
    <t>פסק פסקו שלשת האלופים</t>
  </si>
  <si>
    <t>ארלי, שמואל רפאל בן מצליח</t>
  </si>
  <si>
    <t>שס"ד</t>
  </si>
  <si>
    <t>פסקי הרא"ש ע"פ מעדני מלך ולחם חמודות &lt;דפו"ר&gt; - 2 כרכים</t>
  </si>
  <si>
    <t>אשר בן יחיאל (רא"ש) - הלר, גרשון שאול יום-טוב ליפמאן בן נתן הלוי</t>
  </si>
  <si>
    <t>פסקים וכתבים</t>
  </si>
  <si>
    <t>איסרלין, ישראל בן פתחיה</t>
  </si>
  <si>
    <t>רע"ט</t>
  </si>
  <si>
    <t>פרדס רמונים</t>
  </si>
  <si>
    <t>קורדובירו, משה בן יעקב</t>
  </si>
  <si>
    <t>שנ"א - שנ"ב</t>
  </si>
  <si>
    <t>פתחי יה</t>
  </si>
  <si>
    <t>צרור המור &lt;דפו"ר&gt;</t>
  </si>
  <si>
    <t>סבע, אברהם בן יעקב</t>
  </si>
  <si>
    <t>רפ"ג</t>
  </si>
  <si>
    <t>קונטרס אמרות קודש על המגיד ממעזריטש</t>
  </si>
  <si>
    <t>קונטרס אמרות קודש</t>
  </si>
  <si>
    <t>כפר חב"ד</t>
  </si>
  <si>
    <t>תשס"א</t>
  </si>
  <si>
    <t>ספריית חב''ד, תולדות עם ישראל</t>
  </si>
  <si>
    <t>קרבן ראשית</t>
  </si>
  <si>
    <t>מרגליות, יהודה ליב בן אשר זליג</t>
  </si>
  <si>
    <t>פרנקפורט דאדר</t>
  </si>
  <si>
    <t>רוממות אל &lt;דפו"ר&gt;</t>
  </si>
  <si>
    <t>שס"ה</t>
  </si>
  <si>
    <t>רזיאל המלאך &lt;דפו"ר&gt;</t>
  </si>
  <si>
    <t>רזיאל המלאך</t>
  </si>
  <si>
    <t>תס"א</t>
  </si>
  <si>
    <t>שאגת אריה</t>
  </si>
  <si>
    <t>עמדין, יעקב ישראל בן צבי</t>
  </si>
  <si>
    <t>תקט"ו</t>
  </si>
  <si>
    <t>שאלות</t>
  </si>
  <si>
    <t>שאול הכהן</t>
  </si>
  <si>
    <t>של"ד</t>
  </si>
  <si>
    <t>שאלות ותשובות &lt;בית יוסף&gt;</t>
  </si>
  <si>
    <t>שאלות ותשובות מהר"י לבית הלוי &lt;מהדורה שניה&gt;</t>
  </si>
  <si>
    <t>יעקב בן ישראל הלוי</t>
  </si>
  <si>
    <t>שצ"ב - שצ"ד</t>
  </si>
  <si>
    <t>שארית יהודה</t>
  </si>
  <si>
    <t>טאיטאצאק, יהודה בן שלמה</t>
  </si>
  <si>
    <t>שארית יוסף</t>
  </si>
  <si>
    <t>יוסף בן מרדכי גרשון כ"ץ</t>
  </si>
  <si>
    <t>ש"נ</t>
  </si>
  <si>
    <t>שארית יעקב</t>
  </si>
  <si>
    <t>מאטאלון, יעקב בן שלמה</t>
  </si>
  <si>
    <t>שבט יהודה</t>
  </si>
  <si>
    <t>בן וירגא, שלמה</t>
  </si>
  <si>
    <t>שבר פושעים</t>
  </si>
  <si>
    <t>שו"ת הר"ן &lt;דפו"ר&gt;</t>
  </si>
  <si>
    <t>נסים בן ראובן גירונדי (ר"ן)</t>
  </si>
  <si>
    <t>רומא</t>
  </si>
  <si>
    <t>שו"ת הראנ"ח - 2 כרכים</t>
  </si>
  <si>
    <t>אבן-חיים, אליהו בן ברוך (ראנ"ח)</t>
  </si>
  <si>
    <t>ש"ע</t>
  </si>
  <si>
    <t>שו"ת הרמ"ע מפאנו</t>
  </si>
  <si>
    <t>פאנו, מנחם עזריה בן יצחק ברכיה</t>
  </si>
  <si>
    <t>שו"ת הרשב"א &lt;בולוניה רצ"ט&gt;</t>
  </si>
  <si>
    <t>בן אדרת, שלמה בן אברהם (רשב"א)</t>
  </si>
  <si>
    <t>רצ"ט</t>
  </si>
  <si>
    <t>שו"ת הרשב"א - ג</t>
  </si>
  <si>
    <t>ליוורנו</t>
  </si>
  <si>
    <t>שו"ת מהר"י בן לב - ד</t>
  </si>
  <si>
    <t>בן לב, יוסף בן דוד</t>
  </si>
  <si>
    <t>וינזיא</t>
  </si>
  <si>
    <t>שאלות ותשובות, תלמוד בבלי</t>
  </si>
  <si>
    <t>שו"ת מהר"ם אלשיך</t>
  </si>
  <si>
    <t>שו"ת מהרלב"ח &lt;דפו"ר&gt;</t>
  </si>
  <si>
    <t>אבן חביב, לוי בן יעקב</t>
  </si>
  <si>
    <t>שו"ת מהרש"ך &lt;דפו"ר&gt; - 2 כרכים</t>
  </si>
  <si>
    <t>שלמה בן אברהם הכהן (מהרש"ך)</t>
  </si>
  <si>
    <t>ונציה|שלוניקי</t>
  </si>
  <si>
    <t>שיח יצחק</t>
  </si>
  <si>
    <t>יצחק בן שמואל הלוי מפוזנא</t>
  </si>
  <si>
    <t>שלום אסתר</t>
  </si>
  <si>
    <t>גרשון, יצחק בן מרדכי</t>
  </si>
  <si>
    <t xml:space="preserve">שמ - </t>
  </si>
  <si>
    <t>שלחן ערוך</t>
  </si>
  <si>
    <t>שמלת בנימין</t>
  </si>
  <si>
    <t>רפאפורט, בנימין זאב וולף בן יצחק הכהן</t>
  </si>
  <si>
    <t>דירנפורט</t>
  </si>
  <si>
    <t>תקמ"ח</t>
  </si>
  <si>
    <t>הלכה ומנהג, שלחן ערוך ומפרשיו</t>
  </si>
  <si>
    <t>שני לוחות הברית &lt;דפו"ר&gt;  - 2 כרכים</t>
  </si>
  <si>
    <t>הורוויץ, ישעיה בן אברהם הלוי</t>
  </si>
  <si>
    <t>ת"ח - ת"ט</t>
  </si>
  <si>
    <t>שער השמים</t>
  </si>
  <si>
    <t>גרשום בן שלמה</t>
  </si>
  <si>
    <t>שערי גן עדן - 2 כרכים</t>
  </si>
  <si>
    <t>רומי, משה</t>
  </si>
  <si>
    <t>שערי דורא</t>
  </si>
  <si>
    <t>יצחק בן מאיר הלוי מדורא</t>
  </si>
  <si>
    <t>שערי צדק</t>
  </si>
  <si>
    <t>גיקאטיליה, יוסף בן אברהם</t>
  </si>
  <si>
    <t>ריוה דטרנטו</t>
  </si>
  <si>
    <t>שערי רצון</t>
  </si>
  <si>
    <t>תפילות. סידור. תק"א. שלוניקי</t>
  </si>
  <si>
    <t>תק"א</t>
  </si>
  <si>
    <t>שפתי ישינים</t>
  </si>
  <si>
    <t>באס, שבתי בן יוסף</t>
  </si>
  <si>
    <t>תמ</t>
  </si>
  <si>
    <t>שפתי כהן &lt;חושן משפט דפו"ר&gt;</t>
  </si>
  <si>
    <t>כ"ץ, שבתי בן מאיר הכהן</t>
  </si>
  <si>
    <t>תכ"ג</t>
  </si>
  <si>
    <t>תבנית היכל</t>
  </si>
  <si>
    <t>ליאון-טימפלו, יעקב יהודה אריה בן אברהם</t>
  </si>
  <si>
    <t>תולדות יצחק</t>
  </si>
  <si>
    <t>קארו, יצחק בן יוסף</t>
  </si>
  <si>
    <t>שי"ח - שי"ט</t>
  </si>
  <si>
    <t>תורת החטאת</t>
  </si>
  <si>
    <t>איסרלש, משה בן ישראל (רמ"א)</t>
  </si>
  <si>
    <t>של"ז</t>
  </si>
  <si>
    <t>תורת משה &lt;דפו"ר&gt; - בראשית</t>
  </si>
  <si>
    <t>בילוידיר</t>
  </si>
  <si>
    <t>שנד לערך</t>
  </si>
  <si>
    <t>תחכמוני</t>
  </si>
  <si>
    <t>אלחריזי, יהודה בן שלמה</t>
  </si>
  <si>
    <t>של"ח</t>
  </si>
  <si>
    <t>תיקוני הזהר</t>
  </si>
  <si>
    <t>זוהר. תיקוני זוהר. שי"ח. מנטובה</t>
  </si>
  <si>
    <t>שי"ח</t>
  </si>
  <si>
    <t>תמים יחדיו</t>
  </si>
  <si>
    <t>ישראל בן משה</t>
  </si>
  <si>
    <t>שנ"ב - שנ"ג</t>
  </si>
  <si>
    <t>תנחומא הנקרא ילמדנו</t>
  </si>
  <si>
    <t>מדרש תנחומא. ש"ה</t>
  </si>
  <si>
    <t>תעלומות ומקורות החכמה</t>
  </si>
  <si>
    <t>רפאל, שבתי בן דניאל</t>
  </si>
  <si>
    <t>תכ"ז</t>
  </si>
  <si>
    <t>תעלמות חכמה</t>
  </si>
  <si>
    <t>דילמדיגו, יוסף שלמה בן אליהו</t>
  </si>
  <si>
    <t>האנויאה</t>
  </si>
  <si>
    <t>שפ"ט - שצ"א</t>
  </si>
  <si>
    <t>תקון מדות הנפש</t>
  </si>
  <si>
    <t>אבן גבירול, שלמה בן יהודה</t>
  </si>
  <si>
    <t>שכ"ב</t>
  </si>
  <si>
    <t>תקנות ק"ק פראג</t>
  </si>
  <si>
    <t>קהילת פראג</t>
  </si>
  <si>
    <t>פרג|פראג</t>
  </si>
  <si>
    <t>תקכ"ז</t>
  </si>
  <si>
    <t>תרומת הדשן</t>
  </si>
  <si>
    <t>תשובות שאילות &lt;המיוחסות לרמב"ן&gt;</t>
  </si>
  <si>
    <t>תשובות שאלות &lt;שו"ת ר' אליהו מזרחי&gt;</t>
  </si>
  <si>
    <t>ש"כ - שכ"א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</si>
</sst>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charset val="177"/>
      <scheme val="minor"/>
    </font>
    <font>
      <sz val="18"/>
      <color theme="3"/>
      <name val="Calibri Light"/>
      <family val="2"/>
      <charset val="177"/>
      <scheme val="major"/>
    </font>
    <font>
      <b/>
      <sz val="15"/>
      <color theme="3"/>
      <name val="Calibri"/>
      <family val="2"/>
      <charset val="177"/>
      <scheme val="minor"/>
    </font>
    <font>
      <b/>
      <sz val="13"/>
      <color theme="3"/>
      <name val="Calibri"/>
      <family val="2"/>
      <charset val="177"/>
      <scheme val="minor"/>
    </font>
    <font>
      <b/>
      <sz val="11"/>
      <color theme="3"/>
      <name val="Calibri"/>
      <family val="2"/>
      <charset val="177"/>
      <scheme val="minor"/>
    </font>
    <font>
      <sz val="11"/>
      <color rgb="FF006100"/>
      <name val="Calibri"/>
      <family val="2"/>
      <charset val="177"/>
      <scheme val="minor"/>
    </font>
    <font>
      <sz val="11"/>
      <color rgb="FF9C0006"/>
      <name val="Calibri"/>
      <family val="2"/>
      <charset val="177"/>
      <scheme val="minor"/>
    </font>
    <font>
      <sz val="11"/>
      <color rgb="FF9C5700"/>
      <name val="Calibri"/>
      <family val="2"/>
      <charset val="177"/>
      <scheme val="minor"/>
    </font>
    <font>
      <sz val="11"/>
      <color rgb="FF3F3F76"/>
      <name val="Calibri"/>
      <family val="2"/>
      <charset val="177"/>
      <scheme val="minor"/>
    </font>
    <font>
      <b/>
      <sz val="11"/>
      <color rgb="FF3F3F3F"/>
      <name val="Calibri"/>
      <family val="2"/>
      <charset val="177"/>
      <scheme val="minor"/>
    </font>
    <font>
      <b/>
      <sz val="11"/>
      <color rgb="FFFA7D00"/>
      <name val="Calibri"/>
      <family val="2"/>
      <charset val="177"/>
      <scheme val="minor"/>
    </font>
    <font>
      <sz val="11"/>
      <color rgb="FFFA7D00"/>
      <name val="Calibri"/>
      <family val="2"/>
      <charset val="177"/>
      <scheme val="minor"/>
    </font>
    <font>
      <b/>
      <sz val="11"/>
      <color theme="0"/>
      <name val="Calibri"/>
      <family val="2"/>
      <charset val="177"/>
      <scheme val="minor"/>
    </font>
    <font>
      <sz val="11"/>
      <color rgb="FFFF0000"/>
      <name val="Calibri"/>
      <family val="2"/>
      <charset val="177"/>
      <scheme val="minor"/>
    </font>
    <font>
      <i/>
      <sz val="11"/>
      <color rgb="FF7F7F7F"/>
      <name val="Calibri"/>
      <family val="2"/>
      <charset val="177"/>
      <scheme val="minor"/>
    </font>
    <font>
      <b/>
      <sz val="11"/>
      <color theme="1"/>
      <name val="Calibri"/>
      <family val="2"/>
      <charset val="177"/>
      <scheme val="minor"/>
    </font>
    <font>
      <sz val="11"/>
      <color theme="0"/>
      <name val="Calibri"/>
      <family val="2"/>
      <charset val="177"/>
      <scheme val="minor"/>
    </font>
    <font>
      <b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18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2F85B-4C6A-4D93-BCC7-F78D4B343E67}">
  <dimension ref="A1:H193"/>
  <sheetViews>
    <sheetView tabSelected="1" workbookViewId="0">
      <selection activeCell="B6" sqref="B6"/>
    </sheetView>
  </sheetViews>
  <sheetFormatPr defaultRowHeight="15" x14ac:dyDescent="0.25"/>
  <cols>
    <col min="1" max="1" width="9.5703125" bestFit="1" customWidth="1"/>
    <col min="2" max="2" width="49.140625" bestFit="1" customWidth="1"/>
    <col min="3" max="3" width="53.140625" bestFit="1" customWidth="1"/>
    <col min="4" max="4" width="13.140625" bestFit="1" customWidth="1"/>
    <col min="5" max="5" width="11.5703125" bestFit="1" customWidth="1"/>
    <col min="6" max="6" width="26.7109375" bestFit="1" customWidth="1"/>
    <col min="7" max="7" width="51.85546875" bestFit="1" customWidth="1"/>
    <col min="8" max="8" width="64.28515625" bestFit="1" customWidth="1"/>
  </cols>
  <sheetData>
    <row r="1" spans="1:8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>
        <v>611734</v>
      </c>
      <c r="B2" t="s">
        <v>8</v>
      </c>
      <c r="C2" t="s">
        <v>9</v>
      </c>
      <c r="D2" t="s">
        <v>10</v>
      </c>
      <c r="E2" t="s">
        <v>11</v>
      </c>
      <c r="F2" t="s">
        <v>12</v>
      </c>
      <c r="G2" t="str">
        <f>HYPERLINK(_xlfn.CONCAT("https://tablet.otzar.org/",CHAR(35),"/book/611734/p/-1/t/1/fs/0/start/0/end/0/c"),"אגרת התשובה &lt;דפו""""ר&gt;")</f>
        <v>אגרת התשובה &lt;דפו""ר&gt;</v>
      </c>
      <c r="H2" t="str">
        <f>_xlfn.CONCAT("https://tablet.otzar.org/",CHAR(35),"/book/611734/p/-1/t/1/fs/0/start/0/end/0/c")</f>
        <v>https://tablet.otzar.org/#/book/611734/p/-1/t/1/fs/0/start/0/end/0/c</v>
      </c>
    </row>
    <row r="3" spans="1:8" x14ac:dyDescent="0.25">
      <c r="A3">
        <v>614531</v>
      </c>
      <c r="B3" t="s">
        <v>13</v>
      </c>
      <c r="C3" t="s">
        <v>14</v>
      </c>
      <c r="D3" t="s">
        <v>15</v>
      </c>
      <c r="E3" t="s">
        <v>16</v>
      </c>
      <c r="F3" t="s">
        <v>17</v>
      </c>
      <c r="G3" t="str">
        <f>HYPERLINK(_xlfn.CONCAT("https://tablet.otzar.org/",CHAR(35),"/book/614531/p/-1/t/1/fs/0/start/0/end/0/c"),"אגרת מספרת יחסותא דצדיקי דארעא דישראל")</f>
        <v>אגרת מספרת יחסותא דצדיקי דארעא דישראל</v>
      </c>
      <c r="H3" t="str">
        <f>_xlfn.CONCAT("https://tablet.otzar.org/",CHAR(35),"/book/614531/p/-1/t/1/fs/0/start/0/end/0/c")</f>
        <v>https://tablet.otzar.org/#/book/614531/p/-1/t/1/fs/0/start/0/end/0/c</v>
      </c>
    </row>
    <row r="4" spans="1:8" x14ac:dyDescent="0.25">
      <c r="A4">
        <v>611747</v>
      </c>
      <c r="B4" t="s">
        <v>18</v>
      </c>
      <c r="C4" t="s">
        <v>19</v>
      </c>
      <c r="D4" t="s">
        <v>20</v>
      </c>
      <c r="E4" t="s">
        <v>21</v>
      </c>
      <c r="F4" t="s">
        <v>22</v>
      </c>
      <c r="G4" t="str">
        <f>HYPERLINK(_xlfn.CONCAT("https://tablet.otzar.org/",CHAR(35),"/book/611747/p/-1/t/1/fs/0/start/0/end/0/c"),"אגרת שמואל &lt;דפו""""ר&gt;")</f>
        <v>אגרת שמואל &lt;דפו""ר&gt;</v>
      </c>
      <c r="H4" t="str">
        <f>_xlfn.CONCAT("https://tablet.otzar.org/",CHAR(35),"/book/611747/p/-1/t/1/fs/0/start/0/end/0/c")</f>
        <v>https://tablet.otzar.org/#/book/611747/p/-1/t/1/fs/0/start/0/end/0/c</v>
      </c>
    </row>
    <row r="5" spans="1:8" x14ac:dyDescent="0.25">
      <c r="A5">
        <v>619042</v>
      </c>
      <c r="B5" t="s">
        <v>23</v>
      </c>
      <c r="C5" t="s">
        <v>24</v>
      </c>
      <c r="D5" t="s">
        <v>25</v>
      </c>
      <c r="E5" t="s">
        <v>26</v>
      </c>
      <c r="F5" t="s">
        <v>22</v>
      </c>
      <c r="G5" t="str">
        <f>HYPERLINK(_xlfn.CONCAT("https://tablet.otzar.org/",CHAR(35),"/book/619042/p/-1/t/1/fs/0/start/0/end/0/c"),"אהבת ציון")</f>
        <v>אהבת ציון</v>
      </c>
      <c r="H5" t="str">
        <f>_xlfn.CONCAT("https://tablet.otzar.org/",CHAR(35),"/book/619042/p/-1/t/1/fs/0/start/0/end/0/c")</f>
        <v>https://tablet.otzar.org/#/book/619042/p/-1/t/1/fs/0/start/0/end/0/c</v>
      </c>
    </row>
    <row r="6" spans="1:8" x14ac:dyDescent="0.25">
      <c r="A6">
        <v>619186</v>
      </c>
      <c r="B6" t="s">
        <v>27</v>
      </c>
      <c r="C6" t="s">
        <v>28</v>
      </c>
      <c r="D6" t="s">
        <v>29</v>
      </c>
      <c r="E6" t="s">
        <v>30</v>
      </c>
      <c r="F6" t="s">
        <v>31</v>
      </c>
      <c r="G6" t="str">
        <f>HYPERLINK(_xlfn.CONCAT("https://tablet.otzar.org/",CHAR(35),"/book/619186/p/-1/t/1/fs/0/start/0/end/0/c"),"אור השכל")</f>
        <v>אור השכל</v>
      </c>
      <c r="H6" t="str">
        <f>_xlfn.CONCAT("https://tablet.otzar.org/",CHAR(35),"/book/619186/p/-1/t/1/fs/0/start/0/end/0/c")</f>
        <v>https://tablet.otzar.org/#/book/619186/p/-1/t/1/fs/0/start/0/end/0/c</v>
      </c>
    </row>
    <row r="7" spans="1:8" x14ac:dyDescent="0.25">
      <c r="A7">
        <v>619156</v>
      </c>
      <c r="B7" t="s">
        <v>32</v>
      </c>
      <c r="C7" t="s">
        <v>33</v>
      </c>
      <c r="D7" t="s">
        <v>25</v>
      </c>
      <c r="E7" t="s">
        <v>34</v>
      </c>
      <c r="F7" t="s">
        <v>35</v>
      </c>
      <c r="G7" t="str">
        <f>HYPERLINK(_xlfn.CONCAT("https://tablet.otzar.org/",CHAR(35),"/book/619156/p/-1/t/1/fs/0/start/0/end/0/c"),"אורח לחיים")</f>
        <v>אורח לחיים</v>
      </c>
      <c r="H7" t="str">
        <f>_xlfn.CONCAT("https://tablet.otzar.org/",CHAR(35),"/book/619156/p/-1/t/1/fs/0/start/0/end/0/c")</f>
        <v>https://tablet.otzar.org/#/book/619156/p/-1/t/1/fs/0/start/0/end/0/c</v>
      </c>
    </row>
    <row r="8" spans="1:8" x14ac:dyDescent="0.25">
      <c r="A8">
        <v>619169</v>
      </c>
      <c r="B8" t="s">
        <v>36</v>
      </c>
      <c r="C8" t="s">
        <v>37</v>
      </c>
      <c r="D8" t="s">
        <v>38</v>
      </c>
      <c r="E8" t="s">
        <v>39</v>
      </c>
      <c r="F8" t="s">
        <v>12</v>
      </c>
      <c r="G8" t="str">
        <f>HYPERLINK(_xlfn.CONCAT("https://tablet.otzar.org/",CHAR(35),"/book/619169/p/-1/t/1/fs/0/start/0/end/0/c"),"אורים והתומים")</f>
        <v>אורים והתומים</v>
      </c>
      <c r="H8" t="str">
        <f>_xlfn.CONCAT("https://tablet.otzar.org/",CHAR(35),"/book/619169/p/-1/t/1/fs/0/start/0/end/0/c")</f>
        <v>https://tablet.otzar.org/#/book/619169/p/-1/t/1/fs/0/start/0/end/0/c</v>
      </c>
    </row>
    <row r="9" spans="1:8" x14ac:dyDescent="0.25">
      <c r="A9">
        <v>621527</v>
      </c>
      <c r="B9" t="s">
        <v>40</v>
      </c>
      <c r="C9" t="s">
        <v>41</v>
      </c>
      <c r="D9" t="s">
        <v>42</v>
      </c>
      <c r="E9" t="s">
        <v>43</v>
      </c>
      <c r="F9" t="s">
        <v>22</v>
      </c>
      <c r="G9" t="str">
        <f>HYPERLINK(_xlfn.CONCAT("https://tablet.otzar.org/",CHAR(35),"/book/621527/p/-1/t/1/fs/0/start/0/end/0/c"),"אליה מזרחי &lt;הרא""""ם - המזרחי&gt;")</f>
        <v>אליה מזרחי &lt;הרא""ם - המזרחי&gt;</v>
      </c>
      <c r="H9" t="str">
        <f>_xlfn.CONCAT("https://tablet.otzar.org/",CHAR(35),"/book/621527/p/-1/t/1/fs/0/start/0/end/0/c")</f>
        <v>https://tablet.otzar.org/#/book/621527/p/-1/t/1/fs/0/start/0/end/0/c</v>
      </c>
    </row>
    <row r="10" spans="1:8" x14ac:dyDescent="0.25">
      <c r="A10">
        <v>618721</v>
      </c>
      <c r="B10" t="s">
        <v>44</v>
      </c>
      <c r="C10" t="s">
        <v>45</v>
      </c>
      <c r="D10" t="s">
        <v>46</v>
      </c>
      <c r="E10" t="s">
        <v>47</v>
      </c>
      <c r="F10" t="s">
        <v>48</v>
      </c>
      <c r="G10" t="str">
        <f>HYPERLINK(_xlfn.CONCAT("https://tablet.otzar.org/",CHAR(35),"/book/618721/p/-1/t/1/fs/0/start/0/end/0/c"),"אמרי בינה")</f>
        <v>אמרי בינה</v>
      </c>
      <c r="H10" t="str">
        <f>_xlfn.CONCAT("https://tablet.otzar.org/",CHAR(35),"/book/618721/p/-1/t/1/fs/0/start/0/end/0/c")</f>
        <v>https://tablet.otzar.org/#/book/618721/p/-1/t/1/fs/0/start/0/end/0/c</v>
      </c>
    </row>
    <row r="11" spans="1:8" x14ac:dyDescent="0.25">
      <c r="A11">
        <v>614526</v>
      </c>
      <c r="B11" t="s">
        <v>49</v>
      </c>
      <c r="C11" t="s">
        <v>50</v>
      </c>
      <c r="D11" t="s">
        <v>15</v>
      </c>
      <c r="E11" t="s">
        <v>51</v>
      </c>
      <c r="F11" t="s">
        <v>22</v>
      </c>
      <c r="G11" t="str">
        <f>HYPERLINK(_xlfn.CONCAT("https://tablet.otzar.org/",CHAR(35),"/exKotar/614526"),"ארבעה ועשרים &lt;מנחת שי&gt;  - 3 כרכים")</f>
        <v>ארבעה ועשרים &lt;מנחת שי&gt;  - 3 כרכים</v>
      </c>
      <c r="H11" t="str">
        <f>_xlfn.CONCAT("https://tablet.otzar.org/",CHAR(35),"/exKotar/614526")</f>
        <v>https://tablet.otzar.org/#/exKotar/614526</v>
      </c>
    </row>
    <row r="12" spans="1:8" x14ac:dyDescent="0.25">
      <c r="A12">
        <v>614539</v>
      </c>
      <c r="B12" t="s">
        <v>52</v>
      </c>
      <c r="C12" t="s">
        <v>53</v>
      </c>
      <c r="D12" t="s">
        <v>54</v>
      </c>
      <c r="E12" t="s">
        <v>55</v>
      </c>
      <c r="F12" t="s">
        <v>22</v>
      </c>
      <c r="G12" t="str">
        <f>HYPERLINK(_xlfn.CONCAT("https://tablet.otzar.org/",CHAR(35),"/book/614539/p/-1/t/1/fs/0/start/0/end/0/c"),"באר מים חיים")</f>
        <v>באר מים חיים</v>
      </c>
      <c r="H12" t="str">
        <f>_xlfn.CONCAT("https://tablet.otzar.org/",CHAR(35),"/book/614539/p/-1/t/1/fs/0/start/0/end/0/c")</f>
        <v>https://tablet.otzar.org/#/book/614539/p/-1/t/1/fs/0/start/0/end/0/c</v>
      </c>
    </row>
    <row r="13" spans="1:8" x14ac:dyDescent="0.25">
      <c r="A13">
        <v>619162</v>
      </c>
      <c r="B13" t="s">
        <v>56</v>
      </c>
      <c r="C13" t="s">
        <v>57</v>
      </c>
      <c r="D13" t="s">
        <v>58</v>
      </c>
      <c r="E13" t="s">
        <v>59</v>
      </c>
      <c r="F13" t="s">
        <v>22</v>
      </c>
      <c r="G13" t="str">
        <f>HYPERLINK(_xlfn.CONCAT("https://tablet.otzar.org/",CHAR(35),"/book/619162/p/-1/t/1/fs/0/start/0/end/0/c"),"ביאור רמב""""ן על התורה")</f>
        <v>ביאור רמב""ן על התורה</v>
      </c>
      <c r="H13" t="str">
        <f>_xlfn.CONCAT("https://tablet.otzar.org/",CHAR(35),"/book/619162/p/-1/t/1/fs/0/start/0/end/0/c")</f>
        <v>https://tablet.otzar.org/#/book/619162/p/-1/t/1/fs/0/start/0/end/0/c</v>
      </c>
    </row>
    <row r="14" spans="1:8" x14ac:dyDescent="0.25">
      <c r="A14">
        <v>619177</v>
      </c>
      <c r="B14" t="s">
        <v>60</v>
      </c>
      <c r="C14" t="s">
        <v>61</v>
      </c>
      <c r="D14" t="s">
        <v>29</v>
      </c>
      <c r="E14" t="s">
        <v>62</v>
      </c>
      <c r="F14" t="s">
        <v>22</v>
      </c>
      <c r="G14" t="str">
        <f>HYPERLINK(_xlfn.CONCAT("https://tablet.otzar.org/",CHAR(35),"/book/619177/p/-1/t/1/fs/0/start/0/end/0/c"),"ביאורים על רש""""י על התורה &lt;מוהר""""נ שפירא&gt;")</f>
        <v>ביאורים על רש""י על התורה &lt;מוהר""נ שפירא&gt;</v>
      </c>
      <c r="H14" t="str">
        <f>_xlfn.CONCAT("https://tablet.otzar.org/",CHAR(35),"/book/619177/p/-1/t/1/fs/0/start/0/end/0/c")</f>
        <v>https://tablet.otzar.org/#/book/619177/p/-1/t/1/fs/0/start/0/end/0/c</v>
      </c>
    </row>
    <row r="15" spans="1:8" x14ac:dyDescent="0.25">
      <c r="A15">
        <v>622190</v>
      </c>
      <c r="B15" t="s">
        <v>63</v>
      </c>
      <c r="C15" t="s">
        <v>64</v>
      </c>
      <c r="D15" t="s">
        <v>65</v>
      </c>
      <c r="E15" t="s">
        <v>66</v>
      </c>
      <c r="F15" t="s">
        <v>17</v>
      </c>
      <c r="G15" t="str">
        <f>HYPERLINK(_xlfn.CONCAT("https://tablet.otzar.org/",CHAR(35),"/book/622190/p/-1/t/1/fs/0/start/0/end/0/c"),"בית אברהם")</f>
        <v>בית אברהם</v>
      </c>
      <c r="H15" t="str">
        <f>_xlfn.CONCAT("https://tablet.otzar.org/",CHAR(35),"/book/622190/p/-1/t/1/fs/0/start/0/end/0/c")</f>
        <v>https://tablet.otzar.org/#/book/622190/p/-1/t/1/fs/0/start/0/end/0/c</v>
      </c>
    </row>
    <row r="16" spans="1:8" x14ac:dyDescent="0.25">
      <c r="A16">
        <v>614553</v>
      </c>
      <c r="B16" t="s">
        <v>67</v>
      </c>
      <c r="C16" t="s">
        <v>68</v>
      </c>
      <c r="D16" t="s">
        <v>20</v>
      </c>
      <c r="E16" t="s">
        <v>69</v>
      </c>
      <c r="G16" t="str">
        <f>HYPERLINK(_xlfn.CONCAT("https://tablet.otzar.org/",CHAR(35),"/book/614553/p/-1/t/1/fs/0/start/0/end/0/c"),"בית תפלה")</f>
        <v>בית תפלה</v>
      </c>
      <c r="H16" t="str">
        <f>_xlfn.CONCAT("https://tablet.otzar.org/",CHAR(35),"/book/614553/p/-1/t/1/fs/0/start/0/end/0/c")</f>
        <v>https://tablet.otzar.org/#/book/614553/p/-1/t/1/fs/0/start/0/end/0/c</v>
      </c>
    </row>
    <row r="17" spans="1:8" x14ac:dyDescent="0.25">
      <c r="A17">
        <v>619159</v>
      </c>
      <c r="B17" t="s">
        <v>70</v>
      </c>
      <c r="C17" t="s">
        <v>71</v>
      </c>
      <c r="D17" t="s">
        <v>72</v>
      </c>
      <c r="E17" t="s">
        <v>73</v>
      </c>
      <c r="F17" t="s">
        <v>74</v>
      </c>
      <c r="G17" t="str">
        <f>HYPERLINK(_xlfn.CONCAT("https://tablet.otzar.org/",CHAR(35),"/book/619159/p/-1/t/1/fs/0/start/0/end/0/c"),"בני שמואל")</f>
        <v>בני שמואל</v>
      </c>
      <c r="H17" t="str">
        <f>_xlfn.CONCAT("https://tablet.otzar.org/",CHAR(35),"/book/619159/p/-1/t/1/fs/0/start/0/end/0/c")</f>
        <v>https://tablet.otzar.org/#/book/619159/p/-1/t/1/fs/0/start/0/end/0/c</v>
      </c>
    </row>
    <row r="18" spans="1:8" x14ac:dyDescent="0.25">
      <c r="A18">
        <v>619145</v>
      </c>
      <c r="B18" t="s">
        <v>75</v>
      </c>
      <c r="C18" t="s">
        <v>76</v>
      </c>
      <c r="D18" t="s">
        <v>29</v>
      </c>
      <c r="E18" t="s">
        <v>77</v>
      </c>
      <c r="F18" t="s">
        <v>74</v>
      </c>
      <c r="G18" t="str">
        <f>HYPERLINK(_xlfn.CONCAT("https://tablet.otzar.org/",CHAR(35),"/book/619145/p/-1/t/1/fs/0/start/0/end/0/c"),"ברכת אברהם")</f>
        <v>ברכת אברהם</v>
      </c>
      <c r="H18" t="str">
        <f>_xlfn.CONCAT("https://tablet.otzar.org/",CHAR(35),"/book/619145/p/-1/t/1/fs/0/start/0/end/0/c")</f>
        <v>https://tablet.otzar.org/#/book/619145/p/-1/t/1/fs/0/start/0/end/0/c</v>
      </c>
    </row>
    <row r="19" spans="1:8" x14ac:dyDescent="0.25">
      <c r="A19">
        <v>619204</v>
      </c>
      <c r="B19" t="s">
        <v>78</v>
      </c>
      <c r="C19" t="s">
        <v>79</v>
      </c>
      <c r="D19" t="s">
        <v>46</v>
      </c>
      <c r="E19" t="s">
        <v>80</v>
      </c>
      <c r="G19" t="str">
        <f>HYPERLINK(_xlfn.CONCAT("https://tablet.otzar.org/",CHAR(35),"/book/619204/p/-1/t/1/fs/0/start/0/end/0/c"),"גבעת המורה")</f>
        <v>גבעת המורה</v>
      </c>
      <c r="H19" t="str">
        <f>_xlfn.CONCAT("https://tablet.otzar.org/",CHAR(35),"/book/619204/p/-1/t/1/fs/0/start/0/end/0/c")</f>
        <v>https://tablet.otzar.org/#/book/619204/p/-1/t/1/fs/0/start/0/end/0/c</v>
      </c>
    </row>
    <row r="20" spans="1:8" x14ac:dyDescent="0.25">
      <c r="A20">
        <v>619203</v>
      </c>
      <c r="B20" t="s">
        <v>81</v>
      </c>
      <c r="C20" t="s">
        <v>82</v>
      </c>
      <c r="D20" t="s">
        <v>72</v>
      </c>
      <c r="E20" t="s">
        <v>83</v>
      </c>
      <c r="G20" t="str">
        <f>HYPERLINK(_xlfn.CONCAT("https://tablet.otzar.org/",CHAR(35),"/book/619203/p/-1/t/1/fs/0/start/0/end/0/c"),"דברי שלום &lt;דפו""""ר&gt;")</f>
        <v>דברי שלום &lt;דפו""ר&gt;</v>
      </c>
      <c r="H20" t="str">
        <f>_xlfn.CONCAT("https://tablet.otzar.org/",CHAR(35),"/book/619203/p/-1/t/1/fs/0/start/0/end/0/c")</f>
        <v>https://tablet.otzar.org/#/book/619203/p/-1/t/1/fs/0/start/0/end/0/c</v>
      </c>
    </row>
    <row r="21" spans="1:8" x14ac:dyDescent="0.25">
      <c r="A21">
        <v>619039</v>
      </c>
      <c r="B21" t="s">
        <v>84</v>
      </c>
      <c r="C21" t="s">
        <v>85</v>
      </c>
      <c r="D21" t="s">
        <v>20</v>
      </c>
      <c r="E21" t="s">
        <v>86</v>
      </c>
      <c r="G21" t="str">
        <f>HYPERLINK(_xlfn.CONCAT("https://tablet.otzar.org/",CHAR(35),"/book/619039/p/-1/t/1/fs/0/start/0/end/0/c"),"דרך אמונה")</f>
        <v>דרך אמונה</v>
      </c>
      <c r="H21" t="str">
        <f>_xlfn.CONCAT("https://tablet.otzar.org/",CHAR(35),"/book/619039/p/-1/t/1/fs/0/start/0/end/0/c")</f>
        <v>https://tablet.otzar.org/#/book/619039/p/-1/t/1/fs/0/start/0/end/0/c</v>
      </c>
    </row>
    <row r="22" spans="1:8" x14ac:dyDescent="0.25">
      <c r="A22">
        <v>621530</v>
      </c>
      <c r="B22" t="s">
        <v>87</v>
      </c>
      <c r="C22" t="s">
        <v>88</v>
      </c>
      <c r="D22" t="s">
        <v>89</v>
      </c>
      <c r="E22" t="s">
        <v>90</v>
      </c>
      <c r="F22" t="s">
        <v>91</v>
      </c>
      <c r="G22" t="str">
        <f>HYPERLINK(_xlfn.CONCAT("https://tablet.otzar.org/",CHAR(35),"/book/621530/p/-1/t/1/fs/0/start/0/end/0/c"),"דרך חיים")</f>
        <v>דרך חיים</v>
      </c>
      <c r="H22" t="str">
        <f>_xlfn.CONCAT("https://tablet.otzar.org/",CHAR(35),"/book/621530/p/-1/t/1/fs/0/start/0/end/0/c")</f>
        <v>https://tablet.otzar.org/#/book/621530/p/-1/t/1/fs/0/start/0/end/0/c</v>
      </c>
    </row>
    <row r="23" spans="1:8" x14ac:dyDescent="0.25">
      <c r="A23">
        <v>611730</v>
      </c>
      <c r="B23" t="s">
        <v>92</v>
      </c>
      <c r="C23" t="s">
        <v>93</v>
      </c>
      <c r="D23" t="s">
        <v>94</v>
      </c>
      <c r="E23" t="s">
        <v>95</v>
      </c>
      <c r="G23" t="str">
        <f>HYPERLINK(_xlfn.CONCAT("https://tablet.otzar.org/",CHAR(35),"/book/611730/p/-1/t/1/fs/0/start/0/end/0/c"),"דרך ישרה")</f>
        <v>דרך ישרה</v>
      </c>
      <c r="H23" t="str">
        <f>_xlfn.CONCAT("https://tablet.otzar.org/",CHAR(35),"/book/611730/p/-1/t/1/fs/0/start/0/end/0/c")</f>
        <v>https://tablet.otzar.org/#/book/611730/p/-1/t/1/fs/0/start/0/end/0/c</v>
      </c>
    </row>
    <row r="24" spans="1:8" x14ac:dyDescent="0.25">
      <c r="A24">
        <v>622193</v>
      </c>
      <c r="B24" t="s">
        <v>96</v>
      </c>
      <c r="C24" t="s">
        <v>97</v>
      </c>
      <c r="D24" t="s">
        <v>38</v>
      </c>
      <c r="E24" t="s">
        <v>98</v>
      </c>
      <c r="F24" t="s">
        <v>48</v>
      </c>
      <c r="G24" t="str">
        <f>HYPERLINK(_xlfn.CONCAT("https://tablet.otzar.org/",CHAR(35),"/book/622193/p/-1/t/1/fs/0/start/0/end/0/c"),"דרך תבונות")</f>
        <v>דרך תבונות</v>
      </c>
      <c r="H24" t="str">
        <f>_xlfn.CONCAT("https://tablet.otzar.org/",CHAR(35),"/book/622193/p/-1/t/1/fs/0/start/0/end/0/c")</f>
        <v>https://tablet.otzar.org/#/book/622193/p/-1/t/1/fs/0/start/0/end/0/c</v>
      </c>
    </row>
    <row r="25" spans="1:8" x14ac:dyDescent="0.25">
      <c r="A25">
        <v>614524</v>
      </c>
      <c r="B25" t="s">
        <v>99</v>
      </c>
      <c r="C25" t="s">
        <v>100</v>
      </c>
      <c r="D25" t="s">
        <v>101</v>
      </c>
      <c r="E25" t="s">
        <v>21</v>
      </c>
      <c r="F25" t="s">
        <v>22</v>
      </c>
      <c r="G25" t="str">
        <f>HYPERLINK(_xlfn.CONCAT("https://tablet.otzar.org/",CHAR(35),"/book/614524/p/-1/t/1/fs/0/start/0/end/0/c"),"דרשה לפרשת במדבר")</f>
        <v>דרשה לפרשת במדבר</v>
      </c>
      <c r="H25" t="str">
        <f>_xlfn.CONCAT("https://tablet.otzar.org/",CHAR(35),"/book/614524/p/-1/t/1/fs/0/start/0/end/0/c")</f>
        <v>https://tablet.otzar.org/#/book/614524/p/-1/t/1/fs/0/start/0/end/0/c</v>
      </c>
    </row>
    <row r="26" spans="1:8" x14ac:dyDescent="0.25">
      <c r="A26">
        <v>614575</v>
      </c>
      <c r="B26" t="s">
        <v>102</v>
      </c>
      <c r="C26" t="s">
        <v>103</v>
      </c>
      <c r="D26" t="s">
        <v>104</v>
      </c>
      <c r="E26" t="s">
        <v>105</v>
      </c>
      <c r="G26" t="str">
        <f>HYPERLINK(_xlfn.CONCAT("https://tablet.otzar.org/",CHAR(35),"/book/614575/p/-1/t/1/fs/0/start/0/end/0/c"),"דרשות התורה")</f>
        <v>דרשות התורה</v>
      </c>
      <c r="H26" t="str">
        <f>_xlfn.CONCAT("https://tablet.otzar.org/",CHAR(35),"/book/614575/p/-1/t/1/fs/0/start/0/end/0/c")</f>
        <v>https://tablet.otzar.org/#/book/614575/p/-1/t/1/fs/0/start/0/end/0/c</v>
      </c>
    </row>
    <row r="27" spans="1:8" x14ac:dyDescent="0.25">
      <c r="A27">
        <v>619139</v>
      </c>
      <c r="B27" t="s">
        <v>106</v>
      </c>
      <c r="C27" t="s">
        <v>107</v>
      </c>
      <c r="D27" t="s">
        <v>29</v>
      </c>
      <c r="E27" t="s">
        <v>108</v>
      </c>
      <c r="G27" t="str">
        <f>HYPERLINK(_xlfn.CONCAT("https://tablet.otzar.org/",CHAR(35),"/book/619139/p/-1/t/1/fs/0/start/0/end/0/c"),"היכל ה'")</f>
        <v>היכל ה'</v>
      </c>
      <c r="H27" t="str">
        <f>_xlfn.CONCAT("https://tablet.otzar.org/",CHAR(35),"/book/619139/p/-1/t/1/fs/0/start/0/end/0/c")</f>
        <v>https://tablet.otzar.org/#/book/619139/p/-1/t/1/fs/0/start/0/end/0/c</v>
      </c>
    </row>
    <row r="28" spans="1:8" x14ac:dyDescent="0.25">
      <c r="A28">
        <v>619142</v>
      </c>
      <c r="B28" t="s">
        <v>109</v>
      </c>
      <c r="C28" t="s">
        <v>110</v>
      </c>
      <c r="D28" t="s">
        <v>111</v>
      </c>
      <c r="E28" t="s">
        <v>34</v>
      </c>
      <c r="F28" t="s">
        <v>74</v>
      </c>
      <c r="G28" t="str">
        <f>HYPERLINK(_xlfn.CONCAT("https://tablet.otzar.org/",CHAR(35),"/book/619142/p/-1/t/1/fs/0/start/0/end/0/c"),"הלכות דעות")</f>
        <v>הלכות דעות</v>
      </c>
      <c r="H28" t="str">
        <f>_xlfn.CONCAT("https://tablet.otzar.org/",CHAR(35),"/book/619142/p/-1/t/1/fs/0/start/0/end/0/c")</f>
        <v>https://tablet.otzar.org/#/book/619142/p/-1/t/1/fs/0/start/0/end/0/c</v>
      </c>
    </row>
    <row r="29" spans="1:8" x14ac:dyDescent="0.25">
      <c r="A29">
        <v>618724</v>
      </c>
      <c r="B29" t="s">
        <v>112</v>
      </c>
      <c r="C29" t="s">
        <v>113</v>
      </c>
      <c r="D29" t="s">
        <v>38</v>
      </c>
      <c r="E29" t="s">
        <v>114</v>
      </c>
      <c r="G29" t="str">
        <f>HYPERLINK(_xlfn.CONCAT("https://tablet.otzar.org/",CHAR(35),"/exKotar/618724"),"הלכות רב אלפס &lt;אמ""""ד&gt;  - 2 כרכים")</f>
        <v>הלכות רב אלפס &lt;אמ""ד&gt;  - 2 כרכים</v>
      </c>
      <c r="H29" t="str">
        <f>_xlfn.CONCAT("https://tablet.otzar.org/",CHAR(35),"/exKotar/618724")</f>
        <v>https://tablet.otzar.org/#/exKotar/618724</v>
      </c>
    </row>
    <row r="30" spans="1:8" x14ac:dyDescent="0.25">
      <c r="A30">
        <v>614568</v>
      </c>
      <c r="B30" t="s">
        <v>115</v>
      </c>
      <c r="C30" t="s">
        <v>113</v>
      </c>
      <c r="D30" t="s">
        <v>20</v>
      </c>
      <c r="E30" t="s">
        <v>116</v>
      </c>
      <c r="F30" t="s">
        <v>117</v>
      </c>
      <c r="G30" t="str">
        <f>HYPERLINK(_xlfn.CONCAT("https://tablet.otzar.org/",CHAR(35),"/exKotar/614568"),"הלכות רב אלפס &lt;קושטא&gt; - 4 כרכים")</f>
        <v>הלכות רב אלפס &lt;קושטא&gt; - 4 כרכים</v>
      </c>
      <c r="H30" t="str">
        <f>_xlfn.CONCAT("https://tablet.otzar.org/",CHAR(35),"/exKotar/614568")</f>
        <v>https://tablet.otzar.org/#/exKotar/614568</v>
      </c>
    </row>
    <row r="31" spans="1:8" x14ac:dyDescent="0.25">
      <c r="A31">
        <v>619047</v>
      </c>
      <c r="B31" t="s">
        <v>118</v>
      </c>
      <c r="C31" t="s">
        <v>119</v>
      </c>
      <c r="D31" t="s">
        <v>120</v>
      </c>
      <c r="E31" t="s">
        <v>121</v>
      </c>
      <c r="F31" t="s">
        <v>74</v>
      </c>
      <c r="G31" t="str">
        <f>HYPERLINK(_xlfn.CONCAT("https://tablet.otzar.org/",CHAR(35),"/book/619047/p/-1/t/1/fs/0/start/0/end/0/c"),"הנפש החכמה")</f>
        <v>הנפש החכמה</v>
      </c>
      <c r="H31" t="str">
        <f>_xlfn.CONCAT("https://tablet.otzar.org/",CHAR(35),"/book/619047/p/-1/t/1/fs/0/start/0/end/0/c")</f>
        <v>https://tablet.otzar.org/#/book/619047/p/-1/t/1/fs/0/start/0/end/0/c</v>
      </c>
    </row>
    <row r="32" spans="1:8" x14ac:dyDescent="0.25">
      <c r="A32">
        <v>611757</v>
      </c>
      <c r="B32" t="s">
        <v>122</v>
      </c>
      <c r="C32" t="s">
        <v>123</v>
      </c>
      <c r="D32" t="s">
        <v>38</v>
      </c>
      <c r="E32" t="s">
        <v>124</v>
      </c>
      <c r="G32" t="str">
        <f>HYPERLINK(_xlfn.CONCAT("https://tablet.otzar.org/",CHAR(35),"/book/611757/p/-1/t/1/fs/0/start/0/end/0/c"),"ויכוח יוסף והשבטים")</f>
        <v>ויכוח יוסף והשבטים</v>
      </c>
      <c r="H32" t="str">
        <f>_xlfn.CONCAT("https://tablet.otzar.org/",CHAR(35),"/book/611757/p/-1/t/1/fs/0/start/0/end/0/c")</f>
        <v>https://tablet.otzar.org/#/book/611757/p/-1/t/1/fs/0/start/0/end/0/c</v>
      </c>
    </row>
    <row r="33" spans="1:8" x14ac:dyDescent="0.25">
      <c r="A33">
        <v>614557</v>
      </c>
      <c r="B33" t="s">
        <v>125</v>
      </c>
      <c r="C33" t="s">
        <v>126</v>
      </c>
      <c r="D33" t="s">
        <v>127</v>
      </c>
      <c r="E33" t="s">
        <v>128</v>
      </c>
      <c r="F33" t="s">
        <v>48</v>
      </c>
      <c r="G33" t="str">
        <f>HYPERLINK(_xlfn.CONCAT("https://tablet.otzar.org/",CHAR(35),"/exKotar/614557"),"זהר &lt;קרימונה&gt;  - 2 כרכים")</f>
        <v>זהר &lt;קרימונה&gt;  - 2 כרכים</v>
      </c>
      <c r="H33" t="str">
        <f>_xlfn.CONCAT("https://tablet.otzar.org/",CHAR(35),"/exKotar/614557")</f>
        <v>https://tablet.otzar.org/#/exKotar/614557</v>
      </c>
    </row>
    <row r="34" spans="1:8" x14ac:dyDescent="0.25">
      <c r="A34">
        <v>619170</v>
      </c>
      <c r="B34" t="s">
        <v>129</v>
      </c>
      <c r="C34" t="s">
        <v>130</v>
      </c>
      <c r="D34" t="s">
        <v>29</v>
      </c>
      <c r="E34" t="s">
        <v>131</v>
      </c>
      <c r="F34" t="s">
        <v>132</v>
      </c>
      <c r="G34" t="str">
        <f>HYPERLINK(_xlfn.CONCAT("https://tablet.otzar.org/",CHAR(35),"/book/619170/p/-1/t/1/fs/0/start/0/end/0/c"),"זמירות ישראל")</f>
        <v>זמירות ישראל</v>
      </c>
      <c r="H34" t="str">
        <f>_xlfn.CONCAT("https://tablet.otzar.org/",CHAR(35),"/book/619170/p/-1/t/1/fs/0/start/0/end/0/c")</f>
        <v>https://tablet.otzar.org/#/book/619170/p/-1/t/1/fs/0/start/0/end/0/c</v>
      </c>
    </row>
    <row r="35" spans="1:8" x14ac:dyDescent="0.25">
      <c r="A35">
        <v>619148</v>
      </c>
      <c r="B35" t="s">
        <v>133</v>
      </c>
      <c r="C35" t="s">
        <v>134</v>
      </c>
      <c r="D35" t="s">
        <v>111</v>
      </c>
      <c r="E35" t="s">
        <v>135</v>
      </c>
      <c r="F35" t="s">
        <v>22</v>
      </c>
      <c r="G35" t="str">
        <f>HYPERLINK(_xlfn.CONCAT("https://tablet.otzar.org/",CHAR(35),"/book/619148/p/-1/t/1/fs/0/start/0/end/0/c"),"זרע ברך")</f>
        <v>זרע ברך</v>
      </c>
      <c r="H35" t="str">
        <f>_xlfn.CONCAT("https://tablet.otzar.org/",CHAR(35),"/book/619148/p/-1/t/1/fs/0/start/0/end/0/c")</f>
        <v>https://tablet.otzar.org/#/book/619148/p/-1/t/1/fs/0/start/0/end/0/c</v>
      </c>
    </row>
    <row r="36" spans="1:8" x14ac:dyDescent="0.25">
      <c r="A36">
        <v>614583</v>
      </c>
      <c r="B36" t="s">
        <v>136</v>
      </c>
      <c r="C36" t="s">
        <v>137</v>
      </c>
      <c r="D36" t="s">
        <v>138</v>
      </c>
      <c r="E36" t="s">
        <v>139</v>
      </c>
      <c r="F36" t="s">
        <v>22</v>
      </c>
      <c r="G36" t="str">
        <f>HYPERLINK(_xlfn.CONCAT("https://tablet.otzar.org/",CHAR(35),"/exKotar/614583"),"חבצלת השרון - 2 כרכים")</f>
        <v>חבצלת השרון - 2 כרכים</v>
      </c>
      <c r="H36" t="str">
        <f>_xlfn.CONCAT("https://tablet.otzar.org/",CHAR(35),"/exKotar/614583")</f>
        <v>https://tablet.otzar.org/#/exKotar/614583</v>
      </c>
    </row>
    <row r="37" spans="1:8" x14ac:dyDescent="0.25">
      <c r="A37">
        <v>621595</v>
      </c>
      <c r="B37" t="s">
        <v>140</v>
      </c>
      <c r="C37" t="s">
        <v>57</v>
      </c>
      <c r="D37" t="s">
        <v>38</v>
      </c>
      <c r="E37" t="s">
        <v>141</v>
      </c>
      <c r="F37" t="s">
        <v>117</v>
      </c>
      <c r="G37" t="str">
        <f>HYPERLINK(_xlfn.CONCAT("https://tablet.otzar.org/",CHAR(35),"/book/621595/p/-1/t/1/fs/0/start/0/end/0/c"),"חדושי בבא בתרא &lt;רמב""""ן&gt;")</f>
        <v>חדושי בבא בתרא &lt;רמב""ן&gt;</v>
      </c>
      <c r="H37" t="str">
        <f>_xlfn.CONCAT("https://tablet.otzar.org/",CHAR(35),"/book/621595/p/-1/t/1/fs/0/start/0/end/0/c")</f>
        <v>https://tablet.otzar.org/#/book/621595/p/-1/t/1/fs/0/start/0/end/0/c</v>
      </c>
    </row>
    <row r="38" spans="1:8" x14ac:dyDescent="0.25">
      <c r="A38">
        <v>163418</v>
      </c>
      <c r="B38" t="s">
        <v>142</v>
      </c>
      <c r="C38" t="s">
        <v>143</v>
      </c>
      <c r="D38" t="s">
        <v>144</v>
      </c>
      <c r="E38" t="s">
        <v>145</v>
      </c>
      <c r="F38" t="s">
        <v>146</v>
      </c>
      <c r="G38" t="str">
        <f>HYPERLINK(_xlfn.CONCAT("https://tablet.otzar.org/",CHAR(35),"/book/163418/p/-1/t/1/fs/0/start/0/end/0/c"),"חוקי רצונך - ג")</f>
        <v>חוקי רצונך - ג</v>
      </c>
      <c r="H38" t="str">
        <f>_xlfn.CONCAT("https://tablet.otzar.org/",CHAR(35),"/book/163418/p/-1/t/1/fs/0/start/0/end/0/c")</f>
        <v>https://tablet.otzar.org/#/book/163418/p/-1/t/1/fs/0/start/0/end/0/c</v>
      </c>
    </row>
    <row r="39" spans="1:8" x14ac:dyDescent="0.25">
      <c r="A39">
        <v>618725</v>
      </c>
      <c r="B39" t="s">
        <v>147</v>
      </c>
      <c r="C39" t="s">
        <v>148</v>
      </c>
      <c r="D39" t="s">
        <v>38</v>
      </c>
      <c r="E39" t="s">
        <v>149</v>
      </c>
      <c r="F39" t="s">
        <v>150</v>
      </c>
      <c r="G39" t="str">
        <f>HYPERLINK(_xlfn.CONCAT("https://tablet.otzar.org/",CHAR(35),"/book/618725/p/-1/t/1/fs/0/start/0/end/0/c"),"חכם צבי")</f>
        <v>חכם צבי</v>
      </c>
      <c r="H39" t="str">
        <f>_xlfn.CONCAT("https://tablet.otzar.org/",CHAR(35),"/book/618725/p/-1/t/1/fs/0/start/0/end/0/c")</f>
        <v>https://tablet.otzar.org/#/book/618725/p/-1/t/1/fs/0/start/0/end/0/c</v>
      </c>
    </row>
    <row r="40" spans="1:8" x14ac:dyDescent="0.25">
      <c r="A40">
        <v>614532</v>
      </c>
      <c r="B40" t="s">
        <v>151</v>
      </c>
      <c r="C40" t="s">
        <v>152</v>
      </c>
      <c r="D40" t="s">
        <v>10</v>
      </c>
      <c r="E40" t="s">
        <v>80</v>
      </c>
      <c r="F40" t="s">
        <v>117</v>
      </c>
      <c r="G40" t="str">
        <f>HYPERLINK(_xlfn.CONCAT("https://tablet.otzar.org/",CHAR(35),"/book/614532/p/-1/t/1/fs/0/start/0/end/0/c"),"חכמת מנוח")</f>
        <v>חכמת מנוח</v>
      </c>
      <c r="H40" t="str">
        <f>_xlfn.CONCAT("https://tablet.otzar.org/",CHAR(35),"/book/614532/p/-1/t/1/fs/0/start/0/end/0/c")</f>
        <v>https://tablet.otzar.org/#/book/614532/p/-1/t/1/fs/0/start/0/end/0/c</v>
      </c>
    </row>
    <row r="41" spans="1:8" x14ac:dyDescent="0.25">
      <c r="A41">
        <v>619174</v>
      </c>
      <c r="B41" t="s">
        <v>153</v>
      </c>
      <c r="C41" t="s">
        <v>154</v>
      </c>
      <c r="D41" t="s">
        <v>111</v>
      </c>
      <c r="E41" t="s">
        <v>155</v>
      </c>
      <c r="G41" t="str">
        <f>HYPERLINK(_xlfn.CONCAT("https://tablet.otzar.org/",CHAR(35),"/exKotar/619174"),"חכמת שלמה &lt;דפו""""ר&gt; א - 2 כרכים")</f>
        <v>חכמת שלמה &lt;דפו""ר&gt; א - 2 כרכים</v>
      </c>
      <c r="H41" t="str">
        <f>_xlfn.CONCAT("https://tablet.otzar.org/",CHAR(35),"/exKotar/619174")</f>
        <v>https://tablet.otzar.org/#/exKotar/619174</v>
      </c>
    </row>
    <row r="42" spans="1:8" x14ac:dyDescent="0.25">
      <c r="A42">
        <v>614535</v>
      </c>
      <c r="B42" t="s">
        <v>156</v>
      </c>
      <c r="C42" t="s">
        <v>157</v>
      </c>
      <c r="D42" t="s">
        <v>111</v>
      </c>
      <c r="E42" t="s">
        <v>158</v>
      </c>
      <c r="G42" t="str">
        <f>HYPERLINK(_xlfn.CONCAT("https://tablet.otzar.org/",CHAR(35),"/book/614535/p/-1/t/1/fs/0/start/0/end/0/c"),"חסדי ה'")</f>
        <v>חסדי ה'</v>
      </c>
      <c r="H42" t="str">
        <f>_xlfn.CONCAT("https://tablet.otzar.org/",CHAR(35),"/book/614535/p/-1/t/1/fs/0/start/0/end/0/c")</f>
        <v>https://tablet.otzar.org/#/book/614535/p/-1/t/1/fs/0/start/0/end/0/c</v>
      </c>
    </row>
    <row r="43" spans="1:8" x14ac:dyDescent="0.25">
      <c r="A43">
        <v>619132</v>
      </c>
      <c r="B43" t="s">
        <v>159</v>
      </c>
      <c r="C43" t="s">
        <v>160</v>
      </c>
      <c r="D43" t="s">
        <v>38</v>
      </c>
      <c r="E43" t="s">
        <v>161</v>
      </c>
      <c r="F43" t="s">
        <v>117</v>
      </c>
      <c r="G43" t="str">
        <f>HYPERLINK(_xlfn.CONCAT("https://tablet.otzar.org/",CHAR(35),"/book/619132/p/-1/t/1/fs/0/start/0/end/0/c"),"חפץ ה'")</f>
        <v>חפץ ה'</v>
      </c>
      <c r="H43" t="str">
        <f>_xlfn.CONCAT("https://tablet.otzar.org/",CHAR(35),"/book/619132/p/-1/t/1/fs/0/start/0/end/0/c")</f>
        <v>https://tablet.otzar.org/#/book/619132/p/-1/t/1/fs/0/start/0/end/0/c</v>
      </c>
    </row>
    <row r="44" spans="1:8" x14ac:dyDescent="0.25">
      <c r="A44">
        <v>619049</v>
      </c>
      <c r="B44" t="s">
        <v>162</v>
      </c>
      <c r="C44" t="s">
        <v>163</v>
      </c>
      <c r="D44" t="s">
        <v>72</v>
      </c>
      <c r="E44" t="s">
        <v>164</v>
      </c>
      <c r="F44" t="s">
        <v>22</v>
      </c>
      <c r="G44" t="str">
        <f>HYPERLINK(_xlfn.CONCAT("https://tablet.otzar.org/",CHAR(35),"/book/619049/p/-1/t/1/fs/0/start/0/end/0/c"),"חשק שלמה")</f>
        <v>חשק שלמה</v>
      </c>
      <c r="H44" t="str">
        <f>_xlfn.CONCAT("https://tablet.otzar.org/",CHAR(35),"/book/619049/p/-1/t/1/fs/0/start/0/end/0/c")</f>
        <v>https://tablet.otzar.org/#/book/619049/p/-1/t/1/fs/0/start/0/end/0/c</v>
      </c>
    </row>
    <row r="45" spans="1:8" x14ac:dyDescent="0.25">
      <c r="A45">
        <v>157417</v>
      </c>
      <c r="B45" t="s">
        <v>165</v>
      </c>
      <c r="C45" t="s">
        <v>166</v>
      </c>
      <c r="D45" t="s">
        <v>167</v>
      </c>
      <c r="E45" t="s">
        <v>168</v>
      </c>
      <c r="F45" t="s">
        <v>169</v>
      </c>
      <c r="G45" t="str">
        <f>HYPERLINK(_xlfn.CONCAT("https://tablet.otzar.org/",CHAR(35),"/book/157417/p/-1/t/1/fs/0/start/0/end/0/c"),"טוב משה")</f>
        <v>טוב משה</v>
      </c>
      <c r="H45" t="str">
        <f>_xlfn.CONCAT("https://tablet.otzar.org/",CHAR(35),"/book/157417/p/-1/t/1/fs/0/start/0/end/0/c")</f>
        <v>https://tablet.otzar.org/#/book/157417/p/-1/t/1/fs/0/start/0/end/0/c</v>
      </c>
    </row>
    <row r="46" spans="1:8" x14ac:dyDescent="0.25">
      <c r="A46">
        <v>619158</v>
      </c>
      <c r="B46" t="s">
        <v>170</v>
      </c>
      <c r="C46" t="s">
        <v>171</v>
      </c>
      <c r="D46" t="s">
        <v>29</v>
      </c>
      <c r="E46" t="s">
        <v>172</v>
      </c>
      <c r="G46" t="str">
        <f>HYPERLINK(_xlfn.CONCAT("https://tablet.otzar.org/",CHAR(35),"/book/619158/p/-1/t/1/fs/0/start/0/end/0/c"),"טוב שם")</f>
        <v>טוב שם</v>
      </c>
      <c r="H46" t="str">
        <f>_xlfn.CONCAT("https://tablet.otzar.org/",CHAR(35),"/book/619158/p/-1/t/1/fs/0/start/0/end/0/c")</f>
        <v>https://tablet.otzar.org/#/book/619158/p/-1/t/1/fs/0/start/0/end/0/c</v>
      </c>
    </row>
    <row r="47" spans="1:8" x14ac:dyDescent="0.25">
      <c r="A47">
        <v>622197</v>
      </c>
      <c r="B47" t="s">
        <v>173</v>
      </c>
      <c r="C47" t="s">
        <v>174</v>
      </c>
      <c r="D47" t="s">
        <v>111</v>
      </c>
      <c r="E47" t="s">
        <v>175</v>
      </c>
      <c r="F47" t="s">
        <v>176</v>
      </c>
      <c r="G47" t="str">
        <f>HYPERLINK(_xlfn.CONCAT("https://tablet.otzar.org/",CHAR(35),"/book/622197/p/-1/t/1/fs/0/start/0/end/0/c"),"טור  &lt;ב""""ח דפו""""ר&gt; - אורח חיים")</f>
        <v>טור  &lt;ב""ח דפו""ר&gt; - אורח חיים</v>
      </c>
      <c r="H47" t="str">
        <f>_xlfn.CONCAT("https://tablet.otzar.org/",CHAR(35),"/book/622197/p/-1/t/1/fs/0/start/0/end/0/c")</f>
        <v>https://tablet.otzar.org/#/book/622197/p/-1/t/1/fs/0/start/0/end/0/c</v>
      </c>
    </row>
    <row r="48" spans="1:8" x14ac:dyDescent="0.25">
      <c r="A48">
        <v>622198</v>
      </c>
      <c r="B48" t="s">
        <v>177</v>
      </c>
      <c r="C48" t="s">
        <v>174</v>
      </c>
      <c r="D48" t="s">
        <v>111</v>
      </c>
      <c r="E48" t="s">
        <v>178</v>
      </c>
      <c r="F48" t="s">
        <v>176</v>
      </c>
      <c r="G48" t="str">
        <f>HYPERLINK(_xlfn.CONCAT("https://tablet.otzar.org/",CHAR(35),"/book/622198/p/-1/t/1/fs/0/start/0/end/0/c"),"טור &lt;ב""""ח דפו""""ר&gt; - חושן משפט")</f>
        <v>טור &lt;ב""ח דפו""ר&gt; - חושן משפט</v>
      </c>
      <c r="H48" t="str">
        <f>_xlfn.CONCAT("https://tablet.otzar.org/",CHAR(35),"/book/622198/p/-1/t/1/fs/0/start/0/end/0/c")</f>
        <v>https://tablet.otzar.org/#/book/622198/p/-1/t/1/fs/0/start/0/end/0/c</v>
      </c>
    </row>
    <row r="49" spans="1:8" x14ac:dyDescent="0.25">
      <c r="A49">
        <v>614558</v>
      </c>
      <c r="B49" t="s">
        <v>179</v>
      </c>
      <c r="C49" t="s">
        <v>180</v>
      </c>
      <c r="D49" t="s">
        <v>25</v>
      </c>
      <c r="E49" t="s">
        <v>181</v>
      </c>
      <c r="F49" t="s">
        <v>176</v>
      </c>
      <c r="G49" t="str">
        <f>HYPERLINK(_xlfn.CONCAT("https://tablet.otzar.org/",CHAR(35),"/exKotar/614558"),"טור &lt;דרישה ופרישה דפו""""ר&gt; - 2 כרכים")</f>
        <v>טור &lt;דרישה ופרישה דפו""ר&gt; - 2 כרכים</v>
      </c>
      <c r="H49" t="str">
        <f>_xlfn.CONCAT("https://tablet.otzar.org/",CHAR(35),"/exKotar/614558")</f>
        <v>https://tablet.otzar.org/#/exKotar/614558</v>
      </c>
    </row>
    <row r="50" spans="1:8" x14ac:dyDescent="0.25">
      <c r="A50">
        <v>619040</v>
      </c>
      <c r="B50" t="s">
        <v>182</v>
      </c>
      <c r="C50" t="s">
        <v>183</v>
      </c>
      <c r="D50" t="s">
        <v>29</v>
      </c>
      <c r="E50" t="s">
        <v>26</v>
      </c>
      <c r="G50" t="str">
        <f>HYPERLINK(_xlfn.CONCAT("https://tablet.otzar.org/",CHAR(35),"/book/619040/p/-1/t/1/fs/0/start/0/end/0/c"),"יבין שמועה")</f>
        <v>יבין שמועה</v>
      </c>
      <c r="H50" t="str">
        <f>_xlfn.CONCAT("https://tablet.otzar.org/",CHAR(35),"/book/619040/p/-1/t/1/fs/0/start/0/end/0/c")</f>
        <v>https://tablet.otzar.org/#/book/619040/p/-1/t/1/fs/0/start/0/end/0/c</v>
      </c>
    </row>
    <row r="51" spans="1:8" x14ac:dyDescent="0.25">
      <c r="A51">
        <v>619182</v>
      </c>
      <c r="B51" t="s">
        <v>184</v>
      </c>
      <c r="C51" t="s">
        <v>185</v>
      </c>
      <c r="D51" t="s">
        <v>46</v>
      </c>
      <c r="E51" t="s">
        <v>186</v>
      </c>
      <c r="F51" t="s">
        <v>22</v>
      </c>
      <c r="G51" t="str">
        <f>HYPERLINK(_xlfn.CONCAT("https://tablet.otzar.org/",CHAR(35),"/book/619182/p/-1/t/1/fs/0/start/0/end/0/c"),"יוסף דעת")</f>
        <v>יוסף דעת</v>
      </c>
      <c r="H51" t="str">
        <f>_xlfn.CONCAT("https://tablet.otzar.org/",CHAR(35),"/book/619182/p/-1/t/1/fs/0/start/0/end/0/c")</f>
        <v>https://tablet.otzar.org/#/book/619182/p/-1/t/1/fs/0/start/0/end/0/c</v>
      </c>
    </row>
    <row r="52" spans="1:8" x14ac:dyDescent="0.25">
      <c r="A52">
        <v>611744</v>
      </c>
      <c r="B52" t="s">
        <v>187</v>
      </c>
      <c r="C52" t="s">
        <v>187</v>
      </c>
      <c r="D52" t="s">
        <v>15</v>
      </c>
      <c r="E52" t="s">
        <v>188</v>
      </c>
      <c r="G52" t="str">
        <f>HYPERLINK(_xlfn.CONCAT("https://tablet.otzar.org/",CHAR(35),"/book/611744/p/-1/t/1/fs/0/start/0/end/0/c"),"יחוס הצדיקים")</f>
        <v>יחוס הצדיקים</v>
      </c>
      <c r="H52" t="str">
        <f>_xlfn.CONCAT("https://tablet.otzar.org/",CHAR(35),"/book/611744/p/-1/t/1/fs/0/start/0/end/0/c")</f>
        <v>https://tablet.otzar.org/#/book/611744/p/-1/t/1/fs/0/start/0/end/0/c</v>
      </c>
    </row>
    <row r="53" spans="1:8" x14ac:dyDescent="0.25">
      <c r="A53">
        <v>619192</v>
      </c>
      <c r="B53" t="s">
        <v>189</v>
      </c>
      <c r="C53" t="s">
        <v>190</v>
      </c>
      <c r="D53" t="s">
        <v>25</v>
      </c>
      <c r="E53" t="s">
        <v>191</v>
      </c>
      <c r="F53" t="s">
        <v>48</v>
      </c>
      <c r="G53" t="str">
        <f>HYPERLINK(_xlfn.CONCAT("https://tablet.otzar.org/",CHAR(35),"/book/619192/p/-1/t/1/fs/0/start/0/end/0/c"),"ילקוט חדש")</f>
        <v>ילקוט חדש</v>
      </c>
      <c r="H53" t="str">
        <f>_xlfn.CONCAT("https://tablet.otzar.org/",CHAR(35),"/book/619192/p/-1/t/1/fs/0/start/0/end/0/c")</f>
        <v>https://tablet.otzar.org/#/book/619192/p/-1/t/1/fs/0/start/0/end/0/c</v>
      </c>
    </row>
    <row r="54" spans="1:8" x14ac:dyDescent="0.25">
      <c r="A54">
        <v>611769</v>
      </c>
      <c r="B54" t="s">
        <v>192</v>
      </c>
      <c r="C54" t="s">
        <v>154</v>
      </c>
      <c r="D54" t="s">
        <v>54</v>
      </c>
      <c r="E54" t="s">
        <v>193</v>
      </c>
      <c r="F54" t="s">
        <v>117</v>
      </c>
      <c r="G54" t="str">
        <f>HYPERLINK(_xlfn.CONCAT("https://tablet.otzar.org/",CHAR(35),"/book/611769/p/-1/t/1/fs/0/start/0/end/0/c"),"ים של שלמה")</f>
        <v>ים של שלמה</v>
      </c>
      <c r="H54" t="str">
        <f>_xlfn.CONCAT("https://tablet.otzar.org/",CHAR(35),"/book/611769/p/-1/t/1/fs/0/start/0/end/0/c")</f>
        <v>https://tablet.otzar.org/#/book/611769/p/-1/t/1/fs/0/start/0/end/0/c</v>
      </c>
    </row>
    <row r="55" spans="1:8" x14ac:dyDescent="0.25">
      <c r="A55">
        <v>619191</v>
      </c>
      <c r="B55" t="s">
        <v>194</v>
      </c>
      <c r="C55" t="s">
        <v>194</v>
      </c>
      <c r="D55" t="s">
        <v>29</v>
      </c>
      <c r="E55" t="s">
        <v>195</v>
      </c>
      <c r="F55" t="s">
        <v>17</v>
      </c>
      <c r="G55" t="str">
        <f>HYPERLINK(_xlfn.CONCAT("https://tablet.otzar.org/",CHAR(35),"/book/619191/p/-1/t/1/fs/0/start/0/end/0/c"),"יפה נוף")</f>
        <v>יפה נוף</v>
      </c>
      <c r="H55" t="str">
        <f>_xlfn.CONCAT("https://tablet.otzar.org/",CHAR(35),"/book/619191/p/-1/t/1/fs/0/start/0/end/0/c")</f>
        <v>https://tablet.otzar.org/#/book/619191/p/-1/t/1/fs/0/start/0/end/0/c</v>
      </c>
    </row>
    <row r="56" spans="1:8" x14ac:dyDescent="0.25">
      <c r="A56">
        <v>619038</v>
      </c>
      <c r="B56" t="s">
        <v>196</v>
      </c>
      <c r="C56" t="s">
        <v>45</v>
      </c>
      <c r="D56" t="s">
        <v>46</v>
      </c>
      <c r="E56" t="s">
        <v>186</v>
      </c>
      <c r="G56" t="str">
        <f>HYPERLINK(_xlfn.CONCAT("https://tablet.otzar.org/",CHAR(35),"/book/619038/p/-1/t/1/fs/0/start/0/end/0/c"),"יש שכר")</f>
        <v>יש שכר</v>
      </c>
      <c r="H56" t="str">
        <f>_xlfn.CONCAT("https://tablet.otzar.org/",CHAR(35),"/book/619038/p/-1/t/1/fs/0/start/0/end/0/c")</f>
        <v>https://tablet.otzar.org/#/book/619038/p/-1/t/1/fs/0/start/0/end/0/c</v>
      </c>
    </row>
    <row r="57" spans="1:8" x14ac:dyDescent="0.25">
      <c r="A57">
        <v>619044</v>
      </c>
      <c r="B57" t="s">
        <v>197</v>
      </c>
      <c r="C57" t="s">
        <v>198</v>
      </c>
      <c r="D57" t="s">
        <v>199</v>
      </c>
      <c r="E57" t="s">
        <v>200</v>
      </c>
      <c r="F57" t="s">
        <v>132</v>
      </c>
      <c r="G57" t="str">
        <f>HYPERLINK(_xlfn.CONCAT("https://tablet.otzar.org/",CHAR(35),"/exKotar/619044"),"ישע אלהים - 2 כרכים")</f>
        <v>ישע אלהים - 2 כרכים</v>
      </c>
      <c r="H57" t="str">
        <f>_xlfn.CONCAT("https://tablet.otzar.org/",CHAR(35),"/exKotar/619044")</f>
        <v>https://tablet.otzar.org/#/exKotar/619044</v>
      </c>
    </row>
    <row r="58" spans="1:8" x14ac:dyDescent="0.25">
      <c r="A58">
        <v>611761</v>
      </c>
      <c r="B58" t="s">
        <v>201</v>
      </c>
      <c r="C58" t="s">
        <v>202</v>
      </c>
      <c r="D58" t="s">
        <v>25</v>
      </c>
      <c r="E58" t="s">
        <v>11</v>
      </c>
      <c r="G58" t="str">
        <f>HYPERLINK(_xlfn.CONCAT("https://tablet.otzar.org/",CHAR(35),"/book/611761/p/-1/t/1/fs/0/start/0/end/0/c"),"כד הקמח")</f>
        <v>כד הקמח</v>
      </c>
      <c r="H58" t="str">
        <f>_xlfn.CONCAT("https://tablet.otzar.org/",CHAR(35),"/book/611761/p/-1/t/1/fs/0/start/0/end/0/c")</f>
        <v>https://tablet.otzar.org/#/book/611761/p/-1/t/1/fs/0/start/0/end/0/c</v>
      </c>
    </row>
    <row r="59" spans="1:8" x14ac:dyDescent="0.25">
      <c r="A59">
        <v>611753</v>
      </c>
      <c r="B59" t="s">
        <v>203</v>
      </c>
      <c r="C59" t="s">
        <v>204</v>
      </c>
      <c r="D59" t="s">
        <v>58</v>
      </c>
      <c r="E59" t="s">
        <v>205</v>
      </c>
      <c r="F59" t="s">
        <v>22</v>
      </c>
      <c r="G59" t="str">
        <f>HYPERLINK(_xlfn.CONCAT("https://tablet.otzar.org/",CHAR(35),"/book/611753/p/-1/t/1/fs/0/start/0/end/0/c"),"כהנת אברהם")</f>
        <v>כהנת אברהם</v>
      </c>
      <c r="H59" t="str">
        <f>_xlfn.CONCAT("https://tablet.otzar.org/",CHAR(35),"/book/611753/p/-1/t/1/fs/0/start/0/end/0/c")</f>
        <v>https://tablet.otzar.org/#/book/611753/p/-1/t/1/fs/0/start/0/end/0/c</v>
      </c>
    </row>
    <row r="60" spans="1:8" x14ac:dyDescent="0.25">
      <c r="A60">
        <v>614579</v>
      </c>
      <c r="B60" t="s">
        <v>206</v>
      </c>
      <c r="C60" t="s">
        <v>207</v>
      </c>
      <c r="D60" t="s">
        <v>208</v>
      </c>
      <c r="E60" t="s">
        <v>155</v>
      </c>
      <c r="F60" t="s">
        <v>48</v>
      </c>
      <c r="G60" t="str">
        <f>HYPERLINK(_xlfn.CONCAT("https://tablet.otzar.org/",CHAR(35),"/book/614579/p/-1/t/1/fs/0/start/0/end/0/c"),"כונות האגדות")</f>
        <v>כונות האגדות</v>
      </c>
      <c r="H60" t="str">
        <f>_xlfn.CONCAT("https://tablet.otzar.org/",CHAR(35),"/book/614579/p/-1/t/1/fs/0/start/0/end/0/c")</f>
        <v>https://tablet.otzar.org/#/book/614579/p/-1/t/1/fs/0/start/0/end/0/c</v>
      </c>
    </row>
    <row r="61" spans="1:8" x14ac:dyDescent="0.25">
      <c r="A61">
        <v>619175</v>
      </c>
      <c r="B61" t="s">
        <v>209</v>
      </c>
      <c r="C61" t="s">
        <v>210</v>
      </c>
      <c r="D61" t="s">
        <v>29</v>
      </c>
      <c r="E61" t="s">
        <v>211</v>
      </c>
      <c r="F61" t="s">
        <v>132</v>
      </c>
      <c r="G61" t="str">
        <f>HYPERLINK(_xlfn.CONCAT("https://tablet.otzar.org/",CHAR(35),"/book/619175/p/-1/t/1/fs/0/start/0/end/0/c"),"כונת שלמה")</f>
        <v>כונת שלמה</v>
      </c>
      <c r="H61" t="str">
        <f>_xlfn.CONCAT("https://tablet.otzar.org/",CHAR(35),"/book/619175/p/-1/t/1/fs/0/start/0/end/0/c")</f>
        <v>https://tablet.otzar.org/#/book/619175/p/-1/t/1/fs/0/start/0/end/0/c</v>
      </c>
    </row>
    <row r="62" spans="1:8" x14ac:dyDescent="0.25">
      <c r="A62">
        <v>611766</v>
      </c>
      <c r="B62" t="s">
        <v>212</v>
      </c>
      <c r="C62" t="s">
        <v>33</v>
      </c>
      <c r="D62" t="s">
        <v>25</v>
      </c>
      <c r="E62" t="s">
        <v>213</v>
      </c>
      <c r="F62" t="s">
        <v>22</v>
      </c>
      <c r="G62" t="str">
        <f>HYPERLINK(_xlfn.CONCAT("https://tablet.otzar.org/",CHAR(35),"/book/611766/p/-1/t/1/fs/0/start/0/end/0/c"),"כלי יקר &lt;דפו""""ר&gt;")</f>
        <v>כלי יקר &lt;דפו""ר&gt;</v>
      </c>
      <c r="H62" t="str">
        <f>_xlfn.CONCAT("https://tablet.otzar.org/",CHAR(35),"/book/611766/p/-1/t/1/fs/0/start/0/end/0/c")</f>
        <v>https://tablet.otzar.org/#/book/611766/p/-1/t/1/fs/0/start/0/end/0/c</v>
      </c>
    </row>
    <row r="63" spans="1:8" x14ac:dyDescent="0.25">
      <c r="A63">
        <v>619140</v>
      </c>
      <c r="B63" t="s">
        <v>214</v>
      </c>
      <c r="C63" t="s">
        <v>215</v>
      </c>
      <c r="D63" t="s">
        <v>72</v>
      </c>
      <c r="E63" t="s">
        <v>216</v>
      </c>
      <c r="F63" t="s">
        <v>17</v>
      </c>
      <c r="G63" t="str">
        <f>HYPERLINK(_xlfn.CONCAT("https://tablet.otzar.org/",CHAR(35),"/book/619140/p/-1/t/1/fs/0/start/0/end/0/c"),"כללי התלמוד")</f>
        <v>כללי התלמוד</v>
      </c>
      <c r="H63" t="str">
        <f>_xlfn.CONCAT("https://tablet.otzar.org/",CHAR(35),"/book/619140/p/-1/t/1/fs/0/start/0/end/0/c")</f>
        <v>https://tablet.otzar.org/#/book/619140/p/-1/t/1/fs/0/start/0/end/0/c</v>
      </c>
    </row>
    <row r="64" spans="1:8" x14ac:dyDescent="0.25">
      <c r="A64">
        <v>611728</v>
      </c>
      <c r="B64" t="s">
        <v>217</v>
      </c>
      <c r="C64" t="s">
        <v>218</v>
      </c>
      <c r="D64" t="s">
        <v>38</v>
      </c>
      <c r="E64" t="s">
        <v>219</v>
      </c>
      <c r="G64" t="str">
        <f>HYPERLINK(_xlfn.CONCAT("https://tablet.otzar.org/",CHAR(35),"/book/611728/p/-1/t/1/fs/0/start/0/end/0/c"),"כתבי קודש ומליצות")</f>
        <v>כתבי קודש ומליצות</v>
      </c>
      <c r="H64" t="str">
        <f>_xlfn.CONCAT("https://tablet.otzar.org/",CHAR(35),"/book/611728/p/-1/t/1/fs/0/start/0/end/0/c")</f>
        <v>https://tablet.otzar.org/#/book/611728/p/-1/t/1/fs/0/start/0/end/0/c</v>
      </c>
    </row>
    <row r="65" spans="1:8" x14ac:dyDescent="0.25">
      <c r="A65">
        <v>619160</v>
      </c>
      <c r="B65" t="s">
        <v>220</v>
      </c>
      <c r="C65" t="s">
        <v>221</v>
      </c>
      <c r="D65" t="s">
        <v>29</v>
      </c>
      <c r="E65" t="s">
        <v>11</v>
      </c>
      <c r="G65" t="str">
        <f>HYPERLINK(_xlfn.CONCAT("https://tablet.otzar.org/",CHAR(35),"/book/619160/p/-1/t/1/fs/0/start/0/end/0/c"),"כתר שם טוב")</f>
        <v>כתר שם טוב</v>
      </c>
      <c r="H65" t="str">
        <f>_xlfn.CONCAT("https://tablet.otzar.org/",CHAR(35),"/book/619160/p/-1/t/1/fs/0/start/0/end/0/c")</f>
        <v>https://tablet.otzar.org/#/book/619160/p/-1/t/1/fs/0/start/0/end/0/c</v>
      </c>
    </row>
    <row r="66" spans="1:8" x14ac:dyDescent="0.25">
      <c r="A66">
        <v>619138</v>
      </c>
      <c r="B66" t="s">
        <v>222</v>
      </c>
      <c r="C66" t="s">
        <v>223</v>
      </c>
      <c r="D66" t="s">
        <v>20</v>
      </c>
      <c r="E66" t="s">
        <v>224</v>
      </c>
      <c r="F66" t="s">
        <v>22</v>
      </c>
      <c r="G66" t="str">
        <f>HYPERLINK(_xlfn.CONCAT("https://tablet.otzar.org/",CHAR(35),"/book/619138/p/-1/t/1/fs/0/start/0/end/0/c"),"לב חכם")</f>
        <v>לב חכם</v>
      </c>
      <c r="H66" t="str">
        <f>_xlfn.CONCAT("https://tablet.otzar.org/",CHAR(35),"/book/619138/p/-1/t/1/fs/0/start/0/end/0/c")</f>
        <v>https://tablet.otzar.org/#/book/619138/p/-1/t/1/fs/0/start/0/end/0/c</v>
      </c>
    </row>
    <row r="67" spans="1:8" x14ac:dyDescent="0.25">
      <c r="A67">
        <v>611735</v>
      </c>
      <c r="B67" t="s">
        <v>225</v>
      </c>
      <c r="C67" t="s">
        <v>226</v>
      </c>
      <c r="D67" t="s">
        <v>25</v>
      </c>
      <c r="E67" t="s">
        <v>34</v>
      </c>
      <c r="F67" t="s">
        <v>227</v>
      </c>
      <c r="G67" t="str">
        <f>HYPERLINK(_xlfn.CONCAT("https://tablet.otzar.org/",CHAR(35),"/book/611735/p/-1/t/1/fs/0/start/0/end/0/c"),"לבושי אור יקרות (ריקאנטי) &lt;דפו""""ר&gt;")</f>
        <v>לבושי אור יקרות (ריקאנטי) &lt;דפו""ר&gt;</v>
      </c>
      <c r="H67" t="str">
        <f>_xlfn.CONCAT("https://tablet.otzar.org/",CHAR(35),"/book/611735/p/-1/t/1/fs/0/start/0/end/0/c")</f>
        <v>https://tablet.otzar.org/#/book/611735/p/-1/t/1/fs/0/start/0/end/0/c</v>
      </c>
    </row>
    <row r="68" spans="1:8" x14ac:dyDescent="0.25">
      <c r="A68">
        <v>619187</v>
      </c>
      <c r="B68" t="s">
        <v>228</v>
      </c>
      <c r="C68" t="s">
        <v>229</v>
      </c>
      <c r="D68" t="s">
        <v>29</v>
      </c>
      <c r="E68" t="s">
        <v>121</v>
      </c>
      <c r="F68" t="s">
        <v>22</v>
      </c>
      <c r="G68" t="str">
        <f>HYPERLINK(_xlfn.CONCAT("https://tablet.otzar.org/",CHAR(35),"/book/619187/p/-1/t/1/fs/0/start/0/end/0/c"),"לחם סתרים")</f>
        <v>לחם סתרים</v>
      </c>
      <c r="H68" t="str">
        <f>_xlfn.CONCAT("https://tablet.otzar.org/",CHAR(35),"/book/619187/p/-1/t/1/fs/0/start/0/end/0/c")</f>
        <v>https://tablet.otzar.org/#/book/619187/p/-1/t/1/fs/0/start/0/end/0/c</v>
      </c>
    </row>
    <row r="69" spans="1:8" x14ac:dyDescent="0.25">
      <c r="A69">
        <v>619193</v>
      </c>
      <c r="B69" t="s">
        <v>230</v>
      </c>
      <c r="C69" t="s">
        <v>231</v>
      </c>
      <c r="D69" t="s">
        <v>25</v>
      </c>
      <c r="E69" t="s">
        <v>232</v>
      </c>
      <c r="G69" t="str">
        <f>HYPERLINK(_xlfn.CONCAT("https://tablet.otzar.org/",CHAR(35),"/book/619193/p/-1/t/1/fs/0/start/0/end/0/c"),"ליקוטי האור")</f>
        <v>ליקוטי האור</v>
      </c>
      <c r="H69" t="str">
        <f>_xlfn.CONCAT("https://tablet.otzar.org/",CHAR(35),"/book/619193/p/-1/t/1/fs/0/start/0/end/0/c")</f>
        <v>https://tablet.otzar.org/#/book/619193/p/-1/t/1/fs/0/start/0/end/0/c</v>
      </c>
    </row>
    <row r="70" spans="1:8" x14ac:dyDescent="0.25">
      <c r="A70">
        <v>614520</v>
      </c>
      <c r="B70" t="s">
        <v>233</v>
      </c>
      <c r="C70" t="s">
        <v>234</v>
      </c>
      <c r="D70" t="s">
        <v>29</v>
      </c>
      <c r="E70" t="s">
        <v>77</v>
      </c>
      <c r="F70" t="s">
        <v>74</v>
      </c>
      <c r="G70" t="str">
        <f>HYPERLINK(_xlfn.CONCAT("https://tablet.otzar.org/",CHAR(35),"/book/614520/p/-1/t/1/fs/0/start/0/end/0/c"),"לכל חפץ")</f>
        <v>לכל חפץ</v>
      </c>
      <c r="H70" t="str">
        <f>_xlfn.CONCAT("https://tablet.otzar.org/",CHAR(35),"/book/614520/p/-1/t/1/fs/0/start/0/end/0/c")</f>
        <v>https://tablet.otzar.org/#/book/614520/p/-1/t/1/fs/0/start/0/end/0/c</v>
      </c>
    </row>
    <row r="71" spans="1:8" x14ac:dyDescent="0.25">
      <c r="A71">
        <v>619135</v>
      </c>
      <c r="B71" t="s">
        <v>235</v>
      </c>
      <c r="C71" t="s">
        <v>236</v>
      </c>
      <c r="D71" t="s">
        <v>72</v>
      </c>
      <c r="E71" t="s">
        <v>237</v>
      </c>
      <c r="F71" t="s">
        <v>74</v>
      </c>
      <c r="G71" t="str">
        <f>HYPERLINK(_xlfn.CONCAT("https://tablet.otzar.org/",CHAR(35),"/book/619135/p/-1/t/1/fs/0/start/0/end/0/c"),"מאה שערים")</f>
        <v>מאה שערים</v>
      </c>
      <c r="H71" t="str">
        <f>_xlfn.CONCAT("https://tablet.otzar.org/",CHAR(35),"/book/619135/p/-1/t/1/fs/0/start/0/end/0/c")</f>
        <v>https://tablet.otzar.org/#/book/619135/p/-1/t/1/fs/0/start/0/end/0/c</v>
      </c>
    </row>
    <row r="72" spans="1:8" x14ac:dyDescent="0.25">
      <c r="A72">
        <v>611745</v>
      </c>
      <c r="B72" t="s">
        <v>238</v>
      </c>
      <c r="C72" t="s">
        <v>239</v>
      </c>
      <c r="D72" t="s">
        <v>58</v>
      </c>
      <c r="E72" t="s">
        <v>114</v>
      </c>
      <c r="G72" t="str">
        <f>HYPERLINK(_xlfn.CONCAT("https://tablet.otzar.org/",CHAR(35),"/book/611745/p/-1/t/1/fs/0/start/0/end/0/c"),"מאור עינים")</f>
        <v>מאור עינים</v>
      </c>
      <c r="H72" t="str">
        <f>_xlfn.CONCAT("https://tablet.otzar.org/",CHAR(35),"/book/611745/p/-1/t/1/fs/0/start/0/end/0/c")</f>
        <v>https://tablet.otzar.org/#/book/611745/p/-1/t/1/fs/0/start/0/end/0/c</v>
      </c>
    </row>
    <row r="73" spans="1:8" x14ac:dyDescent="0.25">
      <c r="A73">
        <v>619155</v>
      </c>
      <c r="B73" t="s">
        <v>240</v>
      </c>
      <c r="C73" t="s">
        <v>241</v>
      </c>
      <c r="D73" t="s">
        <v>29</v>
      </c>
      <c r="E73" t="s">
        <v>242</v>
      </c>
      <c r="G73" t="str">
        <f>HYPERLINK(_xlfn.CONCAT("https://tablet.otzar.org/",CHAR(35),"/book/619155/p/-1/t/1/fs/0/start/0/end/0/c"),"מאיר עיני חכמים")</f>
        <v>מאיר עיני חכמים</v>
      </c>
      <c r="H73" t="str">
        <f>_xlfn.CONCAT("https://tablet.otzar.org/",CHAR(35),"/book/619155/p/-1/t/1/fs/0/start/0/end/0/c")</f>
        <v>https://tablet.otzar.org/#/book/619155/p/-1/t/1/fs/0/start/0/end/0/c</v>
      </c>
    </row>
    <row r="74" spans="1:8" x14ac:dyDescent="0.25">
      <c r="A74">
        <v>614582</v>
      </c>
      <c r="B74" t="s">
        <v>243</v>
      </c>
      <c r="D74" t="s">
        <v>244</v>
      </c>
      <c r="E74" t="s">
        <v>245</v>
      </c>
      <c r="F74" t="s">
        <v>12</v>
      </c>
      <c r="G74" t="str">
        <f>HYPERLINK(_xlfn.CONCAT("https://tablet.otzar.org/",CHAR(35),"/book/614582/p/-1/t/1/fs/0/start/0/end/0/c"),"מאמר האחדות")</f>
        <v>מאמר האחדות</v>
      </c>
      <c r="H74" t="str">
        <f>_xlfn.CONCAT("https://tablet.otzar.org/",CHAR(35),"/book/614582/p/-1/t/1/fs/0/start/0/end/0/c")</f>
        <v>https://tablet.otzar.org/#/book/614582/p/-1/t/1/fs/0/start/0/end/0/c</v>
      </c>
    </row>
    <row r="75" spans="1:8" x14ac:dyDescent="0.25">
      <c r="A75">
        <v>619202</v>
      </c>
      <c r="B75" t="s">
        <v>246</v>
      </c>
      <c r="C75" t="s">
        <v>221</v>
      </c>
      <c r="D75" t="s">
        <v>20</v>
      </c>
      <c r="E75" t="s">
        <v>247</v>
      </c>
      <c r="G75" t="str">
        <f>HYPERLINK(_xlfn.CONCAT("https://tablet.otzar.org/",CHAR(35),"/book/619202/p/-1/t/1/fs/0/start/0/end/0/c"),"מאמר מרדכי")</f>
        <v>מאמר מרדכי</v>
      </c>
      <c r="H75" t="str">
        <f>_xlfn.CONCAT("https://tablet.otzar.org/",CHAR(35),"/book/619202/p/-1/t/1/fs/0/start/0/end/0/c")</f>
        <v>https://tablet.otzar.org/#/book/619202/p/-1/t/1/fs/0/start/0/end/0/c</v>
      </c>
    </row>
    <row r="76" spans="1:8" x14ac:dyDescent="0.25">
      <c r="A76">
        <v>618720</v>
      </c>
      <c r="B76" t="s">
        <v>248</v>
      </c>
      <c r="C76" t="s">
        <v>249</v>
      </c>
      <c r="D76" t="s">
        <v>29</v>
      </c>
      <c r="E76" t="s">
        <v>11</v>
      </c>
      <c r="F76" t="s">
        <v>22</v>
      </c>
      <c r="G76" t="str">
        <f>HYPERLINK(_xlfn.CONCAT("https://tablet.otzar.org/",CHAR(35),"/book/618720/p/-1/t/1/fs/0/start/0/end/0/c"),"מבקש ה'")</f>
        <v>מבקש ה'</v>
      </c>
      <c r="H76" t="str">
        <f>_xlfn.CONCAT("https://tablet.otzar.org/",CHAR(35),"/book/618720/p/-1/t/1/fs/0/start/0/end/0/c")</f>
        <v>https://tablet.otzar.org/#/book/618720/p/-1/t/1/fs/0/start/0/end/0/c</v>
      </c>
    </row>
    <row r="77" spans="1:8" x14ac:dyDescent="0.25">
      <c r="A77">
        <v>611767</v>
      </c>
      <c r="B77" t="s">
        <v>250</v>
      </c>
      <c r="C77" t="s">
        <v>251</v>
      </c>
      <c r="D77" t="s">
        <v>72</v>
      </c>
      <c r="E77" t="s">
        <v>21</v>
      </c>
      <c r="F77" t="s">
        <v>117</v>
      </c>
      <c r="G77" t="str">
        <f>HYPERLINK(_xlfn.CONCAT("https://tablet.otzar.org/",CHAR(35),"/book/611767/p/-1/t/1/fs/0/start/0/end/0/c"),"מגדל דוד")</f>
        <v>מגדל דוד</v>
      </c>
      <c r="H77" t="str">
        <f>_xlfn.CONCAT("https://tablet.otzar.org/",CHAR(35),"/book/611767/p/-1/t/1/fs/0/start/0/end/0/c")</f>
        <v>https://tablet.otzar.org/#/book/611767/p/-1/t/1/fs/0/start/0/end/0/c</v>
      </c>
    </row>
    <row r="78" spans="1:8" x14ac:dyDescent="0.25">
      <c r="A78">
        <v>614529</v>
      </c>
      <c r="B78" t="s">
        <v>252</v>
      </c>
      <c r="C78" t="s">
        <v>110</v>
      </c>
      <c r="D78" t="s">
        <v>15</v>
      </c>
      <c r="E78" t="s">
        <v>253</v>
      </c>
      <c r="F78" t="s">
        <v>74</v>
      </c>
      <c r="G78" t="str">
        <f>HYPERLINK(_xlfn.CONCAT("https://tablet.otzar.org/",CHAR(35),"/book/614529/p/-1/t/1/fs/0/start/0/end/0/c"),"מדע אהבה זמנים")</f>
        <v>מדע אהבה זמנים</v>
      </c>
      <c r="H78" t="str">
        <f>_xlfn.CONCAT("https://tablet.otzar.org/",CHAR(35),"/book/614529/p/-1/t/1/fs/0/start/0/end/0/c")</f>
        <v>https://tablet.otzar.org/#/book/614529/p/-1/t/1/fs/0/start/0/end/0/c</v>
      </c>
    </row>
    <row r="79" spans="1:8" x14ac:dyDescent="0.25">
      <c r="A79">
        <v>611743</v>
      </c>
      <c r="B79" t="s">
        <v>254</v>
      </c>
      <c r="C79" t="s">
        <v>255</v>
      </c>
      <c r="D79" t="s">
        <v>72</v>
      </c>
      <c r="E79" t="s">
        <v>256</v>
      </c>
      <c r="F79" t="s">
        <v>257</v>
      </c>
      <c r="G79" t="str">
        <f>HYPERLINK(_xlfn.CONCAT("https://tablet.otzar.org/",CHAR(35),"/book/611743/p/-1/t/1/fs/0/start/0/end/0/c"),"מדרש חמש מגילות רבתא &lt;מתנות כהונה&gt;")</f>
        <v>מדרש חמש מגילות רבתא &lt;מתנות כהונה&gt;</v>
      </c>
      <c r="H79" t="str">
        <f>_xlfn.CONCAT("https://tablet.otzar.org/",CHAR(35),"/book/611743/p/-1/t/1/fs/0/start/0/end/0/c")</f>
        <v>https://tablet.otzar.org/#/book/611743/p/-1/t/1/fs/0/start/0/end/0/c</v>
      </c>
    </row>
    <row r="80" spans="1:8" x14ac:dyDescent="0.25">
      <c r="A80">
        <v>614560</v>
      </c>
      <c r="B80" t="s">
        <v>258</v>
      </c>
      <c r="C80" t="s">
        <v>259</v>
      </c>
      <c r="D80" t="s">
        <v>54</v>
      </c>
      <c r="E80" t="s">
        <v>191</v>
      </c>
      <c r="F80" t="s">
        <v>257</v>
      </c>
      <c r="G80" t="str">
        <f>HYPERLINK(_xlfn.CONCAT("https://tablet.otzar.org/",CHAR(35),"/book/614560/p/-1/t/1/fs/0/start/0/end/0/c"),"מדרש כונן")</f>
        <v>מדרש כונן</v>
      </c>
      <c r="H80" t="str">
        <f>_xlfn.CONCAT("https://tablet.otzar.org/",CHAR(35),"/book/614560/p/-1/t/1/fs/0/start/0/end/0/c")</f>
        <v>https://tablet.otzar.org/#/book/614560/p/-1/t/1/fs/0/start/0/end/0/c</v>
      </c>
    </row>
    <row r="81" spans="1:8" x14ac:dyDescent="0.25">
      <c r="A81">
        <v>619188</v>
      </c>
      <c r="B81" t="s">
        <v>260</v>
      </c>
      <c r="C81" t="s">
        <v>261</v>
      </c>
      <c r="D81" t="s">
        <v>120</v>
      </c>
      <c r="E81" t="s">
        <v>213</v>
      </c>
      <c r="G81" t="str">
        <f>HYPERLINK(_xlfn.CONCAT("https://tablet.otzar.org/",CHAR(35),"/book/619188/p/-1/t/1/fs/0/start/0/end/0/c"),"מזבח הזהב")</f>
        <v>מזבח הזהב</v>
      </c>
      <c r="H81" t="str">
        <f>_xlfn.CONCAT("https://tablet.otzar.org/",CHAR(35),"/book/619188/p/-1/t/1/fs/0/start/0/end/0/c")</f>
        <v>https://tablet.otzar.org/#/book/619188/p/-1/t/1/fs/0/start/0/end/0/c</v>
      </c>
    </row>
    <row r="82" spans="1:8" x14ac:dyDescent="0.25">
      <c r="A82">
        <v>619172</v>
      </c>
      <c r="B82" t="s">
        <v>262</v>
      </c>
      <c r="C82" t="s">
        <v>223</v>
      </c>
      <c r="D82" t="s">
        <v>29</v>
      </c>
      <c r="E82" t="s">
        <v>263</v>
      </c>
      <c r="G82" t="str">
        <f>HYPERLINK(_xlfn.CONCAT("https://tablet.otzar.org/",CHAR(35),"/book/619172/p/-1/t/1/fs/0/start/0/end/0/c"),"מזמור לתודה")</f>
        <v>מזמור לתודה</v>
      </c>
      <c r="H82" t="str">
        <f>_xlfn.CONCAT("https://tablet.otzar.org/",CHAR(35),"/book/619172/p/-1/t/1/fs/0/start/0/end/0/c")</f>
        <v>https://tablet.otzar.org/#/book/619172/p/-1/t/1/fs/0/start/0/end/0/c</v>
      </c>
    </row>
    <row r="83" spans="1:8" x14ac:dyDescent="0.25">
      <c r="A83">
        <v>619141</v>
      </c>
      <c r="B83" t="s">
        <v>264</v>
      </c>
      <c r="C83" t="s">
        <v>265</v>
      </c>
      <c r="D83" t="s">
        <v>29</v>
      </c>
      <c r="E83" t="s">
        <v>131</v>
      </c>
      <c r="F83" t="s">
        <v>132</v>
      </c>
      <c r="G83" t="str">
        <f>HYPERLINK(_xlfn.CONCAT("https://tablet.otzar.org/",CHAR(35),"/exKotar/619141"),"מחזור הדרת קודש - 2 כרכים")</f>
        <v>מחזור הדרת קודש - 2 כרכים</v>
      </c>
      <c r="H83" t="str">
        <f>_xlfn.CONCAT("https://tablet.otzar.org/",CHAR(35),"/exKotar/619141")</f>
        <v>https://tablet.otzar.org/#/exKotar/619141</v>
      </c>
    </row>
    <row r="84" spans="1:8" x14ac:dyDescent="0.25">
      <c r="A84">
        <v>614551</v>
      </c>
      <c r="B84" t="s">
        <v>266</v>
      </c>
      <c r="C84" t="s">
        <v>267</v>
      </c>
      <c r="D84" t="s">
        <v>268</v>
      </c>
      <c r="E84" t="s">
        <v>269</v>
      </c>
      <c r="G84" t="str">
        <f>HYPERLINK(_xlfn.CONCAT("https://tablet.otzar.org/",CHAR(35),"/book/614551/p/-1/t/1/fs/0/start/0/end/0/c"),"מחזור מכל השנה &lt;מעגלי צדק&gt;")</f>
        <v>מחזור מכל השנה &lt;מעגלי צדק&gt;</v>
      </c>
      <c r="H84" t="str">
        <f>_xlfn.CONCAT("https://tablet.otzar.org/",CHAR(35),"/book/614551/p/-1/t/1/fs/0/start/0/end/0/c")</f>
        <v>https://tablet.otzar.org/#/book/614551/p/-1/t/1/fs/0/start/0/end/0/c</v>
      </c>
    </row>
    <row r="85" spans="1:8" x14ac:dyDescent="0.25">
      <c r="A85">
        <v>619045</v>
      </c>
      <c r="B85" t="s">
        <v>270</v>
      </c>
      <c r="C85" t="s">
        <v>271</v>
      </c>
      <c r="D85" t="s">
        <v>111</v>
      </c>
      <c r="E85" t="s">
        <v>272</v>
      </c>
      <c r="G85" t="str">
        <f>HYPERLINK(_xlfn.CONCAT("https://tablet.otzar.org/",CHAR(35),"/book/619045/p/-1/t/1/fs/0/start/0/end/0/c"),"מטה משה")</f>
        <v>מטה משה</v>
      </c>
      <c r="H85" t="str">
        <f>_xlfn.CONCAT("https://tablet.otzar.org/",CHAR(35),"/book/619045/p/-1/t/1/fs/0/start/0/end/0/c")</f>
        <v>https://tablet.otzar.org/#/book/619045/p/-1/t/1/fs/0/start/0/end/0/c</v>
      </c>
    </row>
    <row r="86" spans="1:8" x14ac:dyDescent="0.25">
      <c r="A86">
        <v>611762</v>
      </c>
      <c r="B86" t="s">
        <v>273</v>
      </c>
      <c r="C86" t="s">
        <v>274</v>
      </c>
      <c r="D86" t="s">
        <v>58</v>
      </c>
      <c r="E86" t="s">
        <v>59</v>
      </c>
      <c r="F86" t="s">
        <v>17</v>
      </c>
      <c r="G86" t="str">
        <f>HYPERLINK(_xlfn.CONCAT("https://tablet.otzar.org/",CHAR(35),"/book/611762/p/-1/t/1/fs/0/start/0/end/0/c"),"מכלול")</f>
        <v>מכלול</v>
      </c>
      <c r="H86" t="str">
        <f>_xlfn.CONCAT("https://tablet.otzar.org/",CHAR(35),"/book/611762/p/-1/t/1/fs/0/start/0/end/0/c")</f>
        <v>https://tablet.otzar.org/#/book/611762/p/-1/t/1/fs/0/start/0/end/0/c</v>
      </c>
    </row>
    <row r="87" spans="1:8" x14ac:dyDescent="0.25">
      <c r="A87">
        <v>614559</v>
      </c>
      <c r="B87" t="s">
        <v>275</v>
      </c>
      <c r="C87" t="s">
        <v>276</v>
      </c>
      <c r="D87" t="s">
        <v>58</v>
      </c>
      <c r="E87" t="s">
        <v>277</v>
      </c>
      <c r="F87" t="s">
        <v>22</v>
      </c>
      <c r="G87" t="str">
        <f>HYPERLINK(_xlfn.CONCAT("https://tablet.otzar.org/",CHAR(35),"/book/614559/p/-1/t/1/fs/0/start/0/end/0/c"),"מלאכת מחשבת")</f>
        <v>מלאכת מחשבת</v>
      </c>
      <c r="H87" t="str">
        <f>_xlfn.CONCAT("https://tablet.otzar.org/",CHAR(35),"/book/614559/p/-1/t/1/fs/0/start/0/end/0/c")</f>
        <v>https://tablet.otzar.org/#/book/614559/p/-1/t/1/fs/0/start/0/end/0/c</v>
      </c>
    </row>
    <row r="88" spans="1:8" x14ac:dyDescent="0.25">
      <c r="A88">
        <v>614587</v>
      </c>
      <c r="B88" t="s">
        <v>278</v>
      </c>
      <c r="C88" t="s">
        <v>279</v>
      </c>
      <c r="D88" t="s">
        <v>38</v>
      </c>
      <c r="E88" t="s">
        <v>280</v>
      </c>
      <c r="G88" t="str">
        <f>HYPERLINK(_xlfn.CONCAT("https://tablet.otzar.org/",CHAR(35),"/book/614587/p/-1/t/1/fs/0/start/0/end/0/c"),"מלחמה לה'")</f>
        <v>מלחמה לה'</v>
      </c>
      <c r="H88" t="str">
        <f>_xlfn.CONCAT("https://tablet.otzar.org/",CHAR(35),"/book/614587/p/-1/t/1/fs/0/start/0/end/0/c")</f>
        <v>https://tablet.otzar.org/#/book/614587/p/-1/t/1/fs/0/start/0/end/0/c</v>
      </c>
    </row>
    <row r="89" spans="1:8" x14ac:dyDescent="0.25">
      <c r="A89">
        <v>619153</v>
      </c>
      <c r="B89" t="s">
        <v>281</v>
      </c>
      <c r="C89" t="s">
        <v>282</v>
      </c>
      <c r="D89" t="s">
        <v>25</v>
      </c>
      <c r="E89" t="s">
        <v>55</v>
      </c>
      <c r="G89" t="str">
        <f>HYPERLINK(_xlfn.CONCAT("https://tablet.otzar.org/",CHAR(35),"/book/619153/p/-1/t/1/fs/0/start/0/end/0/c"),"מלכי יהודה")</f>
        <v>מלכי יהודה</v>
      </c>
      <c r="H89" t="str">
        <f>_xlfn.CONCAT("https://tablet.otzar.org/",CHAR(35),"/book/619153/p/-1/t/1/fs/0/start/0/end/0/c")</f>
        <v>https://tablet.otzar.org/#/book/619153/p/-1/t/1/fs/0/start/0/end/0/c</v>
      </c>
    </row>
    <row r="90" spans="1:8" x14ac:dyDescent="0.25">
      <c r="A90">
        <v>611736</v>
      </c>
      <c r="B90" t="s">
        <v>283</v>
      </c>
      <c r="C90" t="s">
        <v>284</v>
      </c>
      <c r="D90" t="s">
        <v>285</v>
      </c>
      <c r="E90" t="s">
        <v>286</v>
      </c>
      <c r="G90" t="str">
        <f>HYPERLINK(_xlfn.CONCAT("https://tablet.otzar.org/",CHAR(35),"/book/611736/p/-1/t/1/fs/0/start/0/end/0/c"),"מנורת המאור")</f>
        <v>מנורת המאור</v>
      </c>
      <c r="H90" t="str">
        <f>_xlfn.CONCAT("https://tablet.otzar.org/",CHAR(35),"/book/611736/p/-1/t/1/fs/0/start/0/end/0/c")</f>
        <v>https://tablet.otzar.org/#/book/611736/p/-1/t/1/fs/0/start/0/end/0/c</v>
      </c>
    </row>
    <row r="91" spans="1:8" x14ac:dyDescent="0.25">
      <c r="A91">
        <v>611750</v>
      </c>
      <c r="B91" t="s">
        <v>287</v>
      </c>
      <c r="C91" t="s">
        <v>288</v>
      </c>
      <c r="D91" t="s">
        <v>15</v>
      </c>
      <c r="E91" t="s">
        <v>289</v>
      </c>
      <c r="G91" t="str">
        <f>HYPERLINK(_xlfn.CONCAT("https://tablet.otzar.org/",CHAR(35),"/book/611750/p/-1/t/1/fs/0/start/0/end/0/c"),"מסורת הברית הגדול")</f>
        <v>מסורת הברית הגדול</v>
      </c>
      <c r="H91" t="str">
        <f>_xlfn.CONCAT("https://tablet.otzar.org/",CHAR(35),"/book/611750/p/-1/t/1/fs/0/start/0/end/0/c")</f>
        <v>https://tablet.otzar.org/#/book/611750/p/-1/t/1/fs/0/start/0/end/0/c</v>
      </c>
    </row>
    <row r="92" spans="1:8" x14ac:dyDescent="0.25">
      <c r="A92">
        <v>614533</v>
      </c>
      <c r="B92" t="s">
        <v>290</v>
      </c>
      <c r="C92" t="s">
        <v>291</v>
      </c>
      <c r="D92" t="s">
        <v>29</v>
      </c>
      <c r="E92" t="s">
        <v>292</v>
      </c>
      <c r="G92" t="str">
        <f>HYPERLINK(_xlfn.CONCAT("https://tablet.otzar.org/",CHAR(35),"/book/614533/p/-1/t/1/fs/0/start/0/end/0/c"),"מסרות")</f>
        <v>מסרות</v>
      </c>
      <c r="H92" t="str">
        <f>_xlfn.CONCAT("https://tablet.otzar.org/",CHAR(35),"/book/614533/p/-1/t/1/fs/0/start/0/end/0/c")</f>
        <v>https://tablet.otzar.org/#/book/614533/p/-1/t/1/fs/0/start/0/end/0/c</v>
      </c>
    </row>
    <row r="93" spans="1:8" x14ac:dyDescent="0.25">
      <c r="A93">
        <v>614589</v>
      </c>
      <c r="B93" t="s">
        <v>293</v>
      </c>
      <c r="C93" t="s">
        <v>294</v>
      </c>
      <c r="D93" t="s">
        <v>58</v>
      </c>
      <c r="E93" t="s">
        <v>295</v>
      </c>
      <c r="G93" t="str">
        <f>HYPERLINK(_xlfn.CONCAT("https://tablet.otzar.org/",CHAR(35),"/book/614589/p/-1/t/1/fs/0/start/0/end/0/c"),"מפעלות אלהים")</f>
        <v>מפעלות אלהים</v>
      </c>
      <c r="H93" t="str">
        <f>_xlfn.CONCAT("https://tablet.otzar.org/",CHAR(35),"/book/614589/p/-1/t/1/fs/0/start/0/end/0/c")</f>
        <v>https://tablet.otzar.org/#/book/614589/p/-1/t/1/fs/0/start/0/end/0/c</v>
      </c>
    </row>
    <row r="94" spans="1:8" x14ac:dyDescent="0.25">
      <c r="A94">
        <v>619200</v>
      </c>
      <c r="B94" t="s">
        <v>296</v>
      </c>
      <c r="C94" t="s">
        <v>297</v>
      </c>
      <c r="D94" t="s">
        <v>29</v>
      </c>
      <c r="E94" t="s">
        <v>253</v>
      </c>
      <c r="F94" t="s">
        <v>48</v>
      </c>
      <c r="G94" t="str">
        <f>HYPERLINK(_xlfn.CONCAT("https://tablet.otzar.org/",CHAR(35),"/book/619200/p/-1/t/1/fs/0/start/0/end/0/c"),"מפתח הזוהר")</f>
        <v>מפתח הזוהר</v>
      </c>
      <c r="H94" t="str">
        <f>_xlfn.CONCAT("https://tablet.otzar.org/",CHAR(35),"/book/619200/p/-1/t/1/fs/0/start/0/end/0/c")</f>
        <v>https://tablet.otzar.org/#/book/619200/p/-1/t/1/fs/0/start/0/end/0/c</v>
      </c>
    </row>
    <row r="95" spans="1:8" x14ac:dyDescent="0.25">
      <c r="A95">
        <v>614578</v>
      </c>
      <c r="B95" t="s">
        <v>298</v>
      </c>
      <c r="C95" t="s">
        <v>298</v>
      </c>
      <c r="D95" t="s">
        <v>25</v>
      </c>
      <c r="E95" t="s">
        <v>299</v>
      </c>
      <c r="F95" t="s">
        <v>17</v>
      </c>
      <c r="G95" t="str">
        <f>HYPERLINK(_xlfn.CONCAT("https://tablet.otzar.org/",CHAR(35),"/book/614578/p/-1/t/1/fs/0/start/0/end/0/c"),"מפתחות פרקי המשנה והתלמוד")</f>
        <v>מפתחות פרקי המשנה והתלמוד</v>
      </c>
      <c r="H95" t="str">
        <f>_xlfn.CONCAT("https://tablet.otzar.org/",CHAR(35),"/book/614578/p/-1/t/1/fs/0/start/0/end/0/c")</f>
        <v>https://tablet.otzar.org/#/book/614578/p/-1/t/1/fs/0/start/0/end/0/c</v>
      </c>
    </row>
    <row r="96" spans="1:8" x14ac:dyDescent="0.25">
      <c r="A96">
        <v>619180</v>
      </c>
      <c r="B96" t="s">
        <v>300</v>
      </c>
      <c r="C96" t="s">
        <v>301</v>
      </c>
      <c r="D96" t="s">
        <v>29</v>
      </c>
      <c r="E96" t="s">
        <v>292</v>
      </c>
      <c r="F96" t="s">
        <v>74</v>
      </c>
      <c r="G96" t="str">
        <f>HYPERLINK(_xlfn.CONCAT("https://tablet.otzar.org/",CHAR(35),"/book/619180/p/-1/t/1/fs/0/start/0/end/0/c"),"מקוה ישראל")</f>
        <v>מקוה ישראל</v>
      </c>
      <c r="H96" t="str">
        <f>_xlfn.CONCAT("https://tablet.otzar.org/",CHAR(35),"/book/619180/p/-1/t/1/fs/0/start/0/end/0/c")</f>
        <v>https://tablet.otzar.org/#/book/619180/p/-1/t/1/fs/0/start/0/end/0/c</v>
      </c>
    </row>
    <row r="97" spans="1:8" x14ac:dyDescent="0.25">
      <c r="A97">
        <v>611740</v>
      </c>
      <c r="B97" t="s">
        <v>302</v>
      </c>
      <c r="C97" t="s">
        <v>45</v>
      </c>
      <c r="D97" t="s">
        <v>10</v>
      </c>
      <c r="E97" t="s">
        <v>47</v>
      </c>
      <c r="F97" t="s">
        <v>48</v>
      </c>
      <c r="G97" t="str">
        <f>HYPERLINK(_xlfn.CONCAT("https://tablet.otzar.org/",CHAR(35),"/book/611740/p/-1/t/1/fs/0/start/0/end/0/c"),"מקור חכמה")</f>
        <v>מקור חכמה</v>
      </c>
      <c r="H97" t="str">
        <f>_xlfn.CONCAT("https://tablet.otzar.org/",CHAR(35),"/book/611740/p/-1/t/1/fs/0/start/0/end/0/c")</f>
        <v>https://tablet.otzar.org/#/book/611740/p/-1/t/1/fs/0/start/0/end/0/c</v>
      </c>
    </row>
    <row r="98" spans="1:8" x14ac:dyDescent="0.25">
      <c r="A98">
        <v>614577</v>
      </c>
      <c r="B98" t="s">
        <v>303</v>
      </c>
      <c r="C98" t="s">
        <v>304</v>
      </c>
      <c r="D98" t="s">
        <v>29</v>
      </c>
      <c r="E98" t="s">
        <v>200</v>
      </c>
      <c r="G98" t="str">
        <f>HYPERLINK(_xlfn.CONCAT("https://tablet.otzar.org/",CHAR(35),"/book/614577/p/-1/t/1/fs/0/start/0/end/0/c"),"מראות אלהים")</f>
        <v>מראות אלהים</v>
      </c>
      <c r="H98" t="str">
        <f>_xlfn.CONCAT("https://tablet.otzar.org/",CHAR(35),"/book/614577/p/-1/t/1/fs/0/start/0/end/0/c")</f>
        <v>https://tablet.otzar.org/#/book/614577/p/-1/t/1/fs/0/start/0/end/0/c</v>
      </c>
    </row>
    <row r="99" spans="1:8" x14ac:dyDescent="0.25">
      <c r="A99">
        <v>621526</v>
      </c>
      <c r="B99" t="s">
        <v>305</v>
      </c>
      <c r="C99" t="s">
        <v>137</v>
      </c>
      <c r="D99" t="s">
        <v>42</v>
      </c>
      <c r="E99" t="s">
        <v>306</v>
      </c>
      <c r="F99" t="s">
        <v>22</v>
      </c>
      <c r="G99" t="str">
        <f>HYPERLINK(_xlfn.CONCAT("https://tablet.otzar.org/",CHAR(35),"/book/621526/p/-1/t/1/fs/0/start/0/end/0/c"),"מראות הצובאות - נבייאם אחרונים")</f>
        <v>מראות הצובאות - נבייאם אחרונים</v>
      </c>
      <c r="H99" t="str">
        <f>_xlfn.CONCAT("https://tablet.otzar.org/",CHAR(35),"/book/621526/p/-1/t/1/fs/0/start/0/end/0/c")</f>
        <v>https://tablet.otzar.org/#/book/621526/p/-1/t/1/fs/0/start/0/end/0/c</v>
      </c>
    </row>
    <row r="100" spans="1:8" x14ac:dyDescent="0.25">
      <c r="A100">
        <v>619194</v>
      </c>
      <c r="B100" t="s">
        <v>307</v>
      </c>
      <c r="C100" t="s">
        <v>307</v>
      </c>
      <c r="D100" t="s">
        <v>29</v>
      </c>
      <c r="E100" t="s">
        <v>172</v>
      </c>
      <c r="G100" t="str">
        <f>HYPERLINK(_xlfn.CONCAT("https://tablet.otzar.org/",CHAR(35),"/book/619194/p/-1/t/1/fs/0/start/0/end/0/c"),"משבית מלחמות")</f>
        <v>משבית מלחמות</v>
      </c>
      <c r="H100" t="str">
        <f>_xlfn.CONCAT("https://tablet.otzar.org/",CHAR(35),"/book/619194/p/-1/t/1/fs/0/start/0/end/0/c")</f>
        <v>https://tablet.otzar.org/#/book/619194/p/-1/t/1/fs/0/start/0/end/0/c</v>
      </c>
    </row>
    <row r="101" spans="1:8" x14ac:dyDescent="0.25">
      <c r="A101">
        <v>618726</v>
      </c>
      <c r="B101" t="s">
        <v>308</v>
      </c>
      <c r="C101" t="s">
        <v>294</v>
      </c>
      <c r="D101" t="s">
        <v>72</v>
      </c>
      <c r="E101" t="s">
        <v>309</v>
      </c>
      <c r="G101" t="str">
        <f>HYPERLINK(_xlfn.CONCAT("https://tablet.otzar.org/",CHAR(35),"/book/618726/p/-1/t/1/fs/0/start/0/end/0/c"),"משמיע ישועה")</f>
        <v>משמיע ישועה</v>
      </c>
      <c r="H101" t="str">
        <f>_xlfn.CONCAT("https://tablet.otzar.org/",CHAR(35),"/book/618726/p/-1/t/1/fs/0/start/0/end/0/c")</f>
        <v>https://tablet.otzar.org/#/book/618726/p/-1/t/1/fs/0/start/0/end/0/c</v>
      </c>
    </row>
    <row r="102" spans="1:8" x14ac:dyDescent="0.25">
      <c r="A102">
        <v>614594</v>
      </c>
      <c r="B102" t="s">
        <v>310</v>
      </c>
      <c r="C102" t="s">
        <v>311</v>
      </c>
      <c r="D102" t="s">
        <v>111</v>
      </c>
      <c r="E102" t="s">
        <v>312</v>
      </c>
      <c r="F102" t="s">
        <v>91</v>
      </c>
      <c r="G102" t="str">
        <f>HYPERLINK(_xlfn.CONCAT("https://tablet.otzar.org/",CHAR(35),"/book/614594/p/-1/t/1/fs/0/start/0/end/0/c"),"משניות נזיקין עם תוספות יום טוב")</f>
        <v>משניות נזיקין עם תוספות יום טוב</v>
      </c>
      <c r="H102" t="str">
        <f>_xlfn.CONCAT("https://tablet.otzar.org/",CHAR(35),"/book/614594/p/-1/t/1/fs/0/start/0/end/0/c")</f>
        <v>https://tablet.otzar.org/#/book/614594/p/-1/t/1/fs/0/start/0/end/0/c</v>
      </c>
    </row>
    <row r="103" spans="1:8" x14ac:dyDescent="0.25">
      <c r="A103">
        <v>614564</v>
      </c>
      <c r="B103" t="s">
        <v>313</v>
      </c>
      <c r="C103" t="s">
        <v>314</v>
      </c>
      <c r="D103" t="s">
        <v>58</v>
      </c>
      <c r="E103" t="s">
        <v>213</v>
      </c>
      <c r="F103" t="s">
        <v>74</v>
      </c>
      <c r="G103" t="str">
        <f>HYPERLINK(_xlfn.CONCAT("https://tablet.otzar.org/",CHAR(35),"/book/614564/p/-1/t/1/fs/0/start/0/end/0/c"),"משפטי שבועות &lt;דפו""""ר&gt;")</f>
        <v>משפטי שבועות &lt;דפו""ר&gt;</v>
      </c>
      <c r="H103" t="str">
        <f>_xlfn.CONCAT("https://tablet.otzar.org/",CHAR(35),"/book/614564/p/-1/t/1/fs/0/start/0/end/0/c")</f>
        <v>https://tablet.otzar.org/#/book/614564/p/-1/t/1/fs/0/start/0/end/0/c</v>
      </c>
    </row>
    <row r="104" spans="1:8" x14ac:dyDescent="0.25">
      <c r="A104">
        <v>614561</v>
      </c>
      <c r="B104" t="s">
        <v>315</v>
      </c>
      <c r="C104" t="s">
        <v>316</v>
      </c>
      <c r="D104" t="s">
        <v>20</v>
      </c>
      <c r="E104" t="s">
        <v>317</v>
      </c>
      <c r="G104" t="str">
        <f>HYPERLINK(_xlfn.CONCAT("https://tablet.otzar.org/",CHAR(35),"/book/614561/p/-1/t/1/fs/0/start/0/end/0/c"),"נופת צופים")</f>
        <v>נופת צופים</v>
      </c>
      <c r="H104" t="str">
        <f>_xlfn.CONCAT("https://tablet.otzar.org/",CHAR(35),"/book/614561/p/-1/t/1/fs/0/start/0/end/0/c")</f>
        <v>https://tablet.otzar.org/#/book/614561/p/-1/t/1/fs/0/start/0/end/0/c</v>
      </c>
    </row>
    <row r="105" spans="1:8" x14ac:dyDescent="0.25">
      <c r="A105">
        <v>619163</v>
      </c>
      <c r="B105" t="s">
        <v>318</v>
      </c>
      <c r="C105" t="s">
        <v>319</v>
      </c>
      <c r="D105" t="s">
        <v>72</v>
      </c>
      <c r="E105" t="s">
        <v>320</v>
      </c>
      <c r="G105" t="str">
        <f>HYPERLINK(_xlfn.CONCAT("https://tablet.otzar.org/",CHAR(35),"/book/619163/p/-1/t/1/fs/0/start/0/end/0/c"),"נורא תהלות - ח""""ד")</f>
        <v>נורא תהלות - ח""ד</v>
      </c>
      <c r="H105" t="str">
        <f>_xlfn.CONCAT("https://tablet.otzar.org/",CHAR(35),"/book/619163/p/-1/t/1/fs/0/start/0/end/0/c")</f>
        <v>https://tablet.otzar.org/#/book/619163/p/-1/t/1/fs/0/start/0/end/0/c</v>
      </c>
    </row>
    <row r="106" spans="1:8" x14ac:dyDescent="0.25">
      <c r="A106">
        <v>618727</v>
      </c>
      <c r="B106" t="s">
        <v>321</v>
      </c>
      <c r="C106" t="s">
        <v>322</v>
      </c>
      <c r="D106" t="s">
        <v>29</v>
      </c>
      <c r="E106" t="s">
        <v>323</v>
      </c>
      <c r="G106" t="str">
        <f>HYPERLINK(_xlfn.CONCAT("https://tablet.otzar.org/",CHAR(35),"/book/618727/p/-1/t/1/fs/0/start/0/end/0/c"),"נחלת צבי")</f>
        <v>נחלת צבי</v>
      </c>
      <c r="H106" t="str">
        <f>_xlfn.CONCAT("https://tablet.otzar.org/",CHAR(35),"/book/618727/p/-1/t/1/fs/0/start/0/end/0/c")</f>
        <v>https://tablet.otzar.org/#/book/618727/p/-1/t/1/fs/0/start/0/end/0/c</v>
      </c>
    </row>
    <row r="107" spans="1:8" x14ac:dyDescent="0.25">
      <c r="A107">
        <v>619178</v>
      </c>
      <c r="B107" t="s">
        <v>324</v>
      </c>
      <c r="C107" t="s">
        <v>325</v>
      </c>
      <c r="D107" t="s">
        <v>20</v>
      </c>
      <c r="E107" t="s">
        <v>200</v>
      </c>
      <c r="G107" t="str">
        <f>HYPERLINK(_xlfn.CONCAT("https://tablet.otzar.org/",CHAR(35),"/book/619178/p/-1/t/1/fs/0/start/0/end/0/c"),"נר מצוה")</f>
        <v>נר מצוה</v>
      </c>
      <c r="H107" t="str">
        <f>_xlfn.CONCAT("https://tablet.otzar.org/",CHAR(35),"/book/619178/p/-1/t/1/fs/0/start/0/end/0/c")</f>
        <v>https://tablet.otzar.org/#/book/619178/p/-1/t/1/fs/0/start/0/end/0/c</v>
      </c>
    </row>
    <row r="108" spans="1:8" x14ac:dyDescent="0.25">
      <c r="A108">
        <v>611765</v>
      </c>
      <c r="B108" t="s">
        <v>326</v>
      </c>
      <c r="C108" t="s">
        <v>327</v>
      </c>
      <c r="D108" t="s">
        <v>29</v>
      </c>
      <c r="E108" t="s">
        <v>328</v>
      </c>
      <c r="F108" t="s">
        <v>132</v>
      </c>
      <c r="G108" t="str">
        <f>HYPERLINK(_xlfn.CONCAT("https://tablet.otzar.org/",CHAR(35),"/book/611765/p/-1/t/1/fs/0/start/0/end/0/c"),"סדר ארבע תעניות")</f>
        <v>סדר ארבע תעניות</v>
      </c>
      <c r="H108" t="str">
        <f>_xlfn.CONCAT("https://tablet.otzar.org/",CHAR(35),"/book/611765/p/-1/t/1/fs/0/start/0/end/0/c")</f>
        <v>https://tablet.otzar.org/#/book/611765/p/-1/t/1/fs/0/start/0/end/0/c</v>
      </c>
    </row>
    <row r="109" spans="1:8" x14ac:dyDescent="0.25">
      <c r="A109">
        <v>611731</v>
      </c>
      <c r="B109" t="s">
        <v>329</v>
      </c>
      <c r="C109" t="s">
        <v>330</v>
      </c>
      <c r="D109" t="s">
        <v>331</v>
      </c>
      <c r="E109" t="s">
        <v>332</v>
      </c>
      <c r="F109" t="s">
        <v>132</v>
      </c>
      <c r="G109" t="str">
        <f>HYPERLINK(_xlfn.CONCAT("https://tablet.otzar.org/",CHAR(35),"/book/611731/p/-1/t/1/fs/0/start/0/end/0/c"),"סדר הוידוי הנהוג לבני חברת מרפא לנפש")</f>
        <v>סדר הוידוי הנהוג לבני חברת מרפא לנפש</v>
      </c>
      <c r="H109" t="str">
        <f>_xlfn.CONCAT("https://tablet.otzar.org/",CHAR(35),"/book/611731/p/-1/t/1/fs/0/start/0/end/0/c")</f>
        <v>https://tablet.otzar.org/#/book/611731/p/-1/t/1/fs/0/start/0/end/0/c</v>
      </c>
    </row>
    <row r="110" spans="1:8" x14ac:dyDescent="0.25">
      <c r="A110">
        <v>614530</v>
      </c>
      <c r="B110" t="s">
        <v>333</v>
      </c>
      <c r="C110" t="s">
        <v>334</v>
      </c>
      <c r="D110" t="s">
        <v>38</v>
      </c>
      <c r="E110" t="s">
        <v>335</v>
      </c>
      <c r="F110" t="s">
        <v>132</v>
      </c>
      <c r="G110" t="str">
        <f>HYPERLINK(_xlfn.CONCAT("https://tablet.otzar.org/",CHAR(35),"/book/614530/p/-1/t/1/fs/0/start/0/end/0/c"),"סדר תפלות תחנות ופזמונים")</f>
        <v>סדר תפלות תחנות ופזמונים</v>
      </c>
      <c r="H110" t="str">
        <f>_xlfn.CONCAT("https://tablet.otzar.org/",CHAR(35),"/book/614530/p/-1/t/1/fs/0/start/0/end/0/c")</f>
        <v>https://tablet.otzar.org/#/book/614530/p/-1/t/1/fs/0/start/0/end/0/c</v>
      </c>
    </row>
    <row r="111" spans="1:8" x14ac:dyDescent="0.25">
      <c r="A111">
        <v>611738</v>
      </c>
      <c r="B111" t="s">
        <v>336</v>
      </c>
      <c r="C111" t="s">
        <v>337</v>
      </c>
      <c r="D111" t="s">
        <v>29</v>
      </c>
      <c r="E111" t="s">
        <v>338</v>
      </c>
      <c r="F111" t="s">
        <v>132</v>
      </c>
      <c r="G111" t="str">
        <f>HYPERLINK(_xlfn.CONCAT("https://tablet.otzar.org/",CHAR(35),"/book/611738/p/-1/t/1/fs/0/start/0/end/0/c"),"סליחות מכל השנה כמנהג האשכנזים")</f>
        <v>סליחות מכל השנה כמנהג האשכנזים</v>
      </c>
      <c r="H111" t="str">
        <f>_xlfn.CONCAT("https://tablet.otzar.org/",CHAR(35),"/book/611738/p/-1/t/1/fs/0/start/0/end/0/c")</f>
        <v>https://tablet.otzar.org/#/book/611738/p/-1/t/1/fs/0/start/0/end/0/c</v>
      </c>
    </row>
    <row r="112" spans="1:8" x14ac:dyDescent="0.25">
      <c r="A112">
        <v>619144</v>
      </c>
      <c r="B112" t="s">
        <v>339</v>
      </c>
      <c r="C112" t="s">
        <v>340</v>
      </c>
      <c r="D112" t="s">
        <v>29</v>
      </c>
      <c r="E112" t="s">
        <v>341</v>
      </c>
      <c r="F112" t="s">
        <v>48</v>
      </c>
      <c r="G112" t="str">
        <f>HYPERLINK(_xlfn.CONCAT("https://tablet.otzar.org/",CHAR(35),"/book/619144/p/-1/t/1/fs/0/start/0/end/0/c"),"ספר הכונות &lt;ר""""מ טרינקי&gt;")</f>
        <v>ספר הכונות &lt;ר""מ טרינקי&gt;</v>
      </c>
      <c r="H112" t="str">
        <f>_xlfn.CONCAT("https://tablet.otzar.org/",CHAR(35),"/book/619144/p/-1/t/1/fs/0/start/0/end/0/c")</f>
        <v>https://tablet.otzar.org/#/book/619144/p/-1/t/1/fs/0/start/0/end/0/c</v>
      </c>
    </row>
    <row r="113" spans="1:8" x14ac:dyDescent="0.25">
      <c r="A113">
        <v>611755</v>
      </c>
      <c r="B113" t="s">
        <v>342</v>
      </c>
      <c r="C113" t="s">
        <v>343</v>
      </c>
      <c r="D113" t="s">
        <v>54</v>
      </c>
      <c r="E113" t="s">
        <v>216</v>
      </c>
      <c r="G113" t="str">
        <f>HYPERLINK(_xlfn.CONCAT("https://tablet.otzar.org/",CHAR(35),"/book/611755/p/-1/t/1/fs/0/start/0/end/0/c"),"ספר המוסר")</f>
        <v>ספר המוסר</v>
      </c>
      <c r="H113" t="str">
        <f>_xlfn.CONCAT("https://tablet.otzar.org/",CHAR(35),"/book/611755/p/-1/t/1/fs/0/start/0/end/0/c")</f>
        <v>https://tablet.otzar.org/#/book/611755/p/-1/t/1/fs/0/start/0/end/0/c</v>
      </c>
    </row>
    <row r="114" spans="1:8" x14ac:dyDescent="0.25">
      <c r="A114">
        <v>613475</v>
      </c>
      <c r="B114" t="s">
        <v>344</v>
      </c>
      <c r="C114" t="s">
        <v>345</v>
      </c>
      <c r="D114" t="s">
        <v>346</v>
      </c>
      <c r="E114" t="s">
        <v>347</v>
      </c>
      <c r="G114" t="str">
        <f>HYPERLINK(_xlfn.CONCAT("https://tablet.otzar.org/",CHAR(35),"/book/613475/p/-1/t/1/fs/0/start/0/end/0/c"),"ספר הרוקח")</f>
        <v>ספר הרוקח</v>
      </c>
      <c r="H114" t="str">
        <f>_xlfn.CONCAT("https://tablet.otzar.org/",CHAR(35),"/book/613475/p/-1/t/1/fs/0/start/0/end/0/c")</f>
        <v>https://tablet.otzar.org/#/book/613475/p/-1/t/1/fs/0/start/0/end/0/c</v>
      </c>
    </row>
    <row r="115" spans="1:8" x14ac:dyDescent="0.25">
      <c r="A115">
        <v>611741</v>
      </c>
      <c r="B115" t="s">
        <v>348</v>
      </c>
      <c r="C115" t="s">
        <v>349</v>
      </c>
      <c r="D115" t="s">
        <v>10</v>
      </c>
      <c r="E115" t="s">
        <v>186</v>
      </c>
      <c r="G115" t="str">
        <f>HYPERLINK(_xlfn.CONCAT("https://tablet.otzar.org/",CHAR(35),"/book/611741/p/-1/t/1/fs/0/start/0/end/0/c"),"ספר חזון")</f>
        <v>ספר חזון</v>
      </c>
      <c r="H115" t="str">
        <f>_xlfn.CONCAT("https://tablet.otzar.org/",CHAR(35),"/book/611741/p/-1/t/1/fs/0/start/0/end/0/c")</f>
        <v>https://tablet.otzar.org/#/book/611741/p/-1/t/1/fs/0/start/0/end/0/c</v>
      </c>
    </row>
    <row r="116" spans="1:8" x14ac:dyDescent="0.25">
      <c r="A116">
        <v>619133</v>
      </c>
      <c r="B116" t="s">
        <v>350</v>
      </c>
      <c r="C116" t="s">
        <v>351</v>
      </c>
      <c r="D116" t="s">
        <v>29</v>
      </c>
      <c r="E116" t="s">
        <v>108</v>
      </c>
      <c r="G116" t="str">
        <f>HYPERLINK(_xlfn.CONCAT("https://tablet.otzar.org/",CHAR(35),"/book/619133/p/-1/t/1/fs/0/start/0/end/0/c"),"ספר חרדים &lt;דפו""""ר&gt;")</f>
        <v>ספר חרדים &lt;דפו""ר&gt;</v>
      </c>
      <c r="H116" t="str">
        <f>_xlfn.CONCAT("https://tablet.otzar.org/",CHAR(35),"/book/619133/p/-1/t/1/fs/0/start/0/end/0/c")</f>
        <v>https://tablet.otzar.org/#/book/619133/p/-1/t/1/fs/0/start/0/end/0/c</v>
      </c>
    </row>
    <row r="117" spans="1:8" x14ac:dyDescent="0.25">
      <c r="A117">
        <v>614562</v>
      </c>
      <c r="B117" t="s">
        <v>352</v>
      </c>
      <c r="C117" t="s">
        <v>353</v>
      </c>
      <c r="D117" t="s">
        <v>111</v>
      </c>
      <c r="E117" t="s">
        <v>354</v>
      </c>
      <c r="F117" t="s">
        <v>17</v>
      </c>
      <c r="G117" t="str">
        <f>HYPERLINK(_xlfn.CONCAT("https://tablet.otzar.org/",CHAR(35),"/book/614562/p/-1/t/1/fs/0/start/0/end/0/c"),"ספר יוחסין")</f>
        <v>ספר יוחסין</v>
      </c>
      <c r="H117" t="str">
        <f>_xlfn.CONCAT("https://tablet.otzar.org/",CHAR(35),"/book/614562/p/-1/t/1/fs/0/start/0/end/0/c")</f>
        <v>https://tablet.otzar.org/#/book/614562/p/-1/t/1/fs/0/start/0/end/0/c</v>
      </c>
    </row>
    <row r="118" spans="1:8" x14ac:dyDescent="0.25">
      <c r="A118">
        <v>622187</v>
      </c>
      <c r="B118" t="s">
        <v>355</v>
      </c>
      <c r="C118" t="s">
        <v>356</v>
      </c>
      <c r="D118" t="s">
        <v>58</v>
      </c>
      <c r="E118" t="s">
        <v>86</v>
      </c>
      <c r="G118" t="str">
        <f>HYPERLINK(_xlfn.CONCAT("https://tablet.otzar.org/",CHAR(35),"/book/622187/p/-1/t/1/fs/0/start/0/end/0/c"),"ספר מצות הגדול")</f>
        <v>ספר מצות הגדול</v>
      </c>
      <c r="H118" t="str">
        <f>_xlfn.CONCAT("https://tablet.otzar.org/",CHAR(35),"/book/622187/p/-1/t/1/fs/0/start/0/end/0/c")</f>
        <v>https://tablet.otzar.org/#/book/622187/p/-1/t/1/fs/0/start/0/end/0/c</v>
      </c>
    </row>
    <row r="119" spans="1:8" x14ac:dyDescent="0.25">
      <c r="A119">
        <v>614528</v>
      </c>
      <c r="B119" t="s">
        <v>357</v>
      </c>
      <c r="C119" t="s">
        <v>358</v>
      </c>
      <c r="D119" t="s">
        <v>111</v>
      </c>
      <c r="E119" t="s">
        <v>216</v>
      </c>
      <c r="G119" t="str">
        <f>HYPERLINK(_xlfn.CONCAT("https://tablet.otzar.org/",CHAR(35),"/book/614528/p/-1/t/1/fs/0/start/0/end/0/c"),"ספר רב מרדכי")</f>
        <v>ספר רב מרדכי</v>
      </c>
      <c r="H119" t="str">
        <f>_xlfn.CONCAT("https://tablet.otzar.org/",CHAR(35),"/book/614528/p/-1/t/1/fs/0/start/0/end/0/c")</f>
        <v>https://tablet.otzar.org/#/book/614528/p/-1/t/1/fs/0/start/0/end/0/c</v>
      </c>
    </row>
    <row r="120" spans="1:8" x14ac:dyDescent="0.25">
      <c r="A120">
        <v>619173</v>
      </c>
      <c r="B120" t="s">
        <v>359</v>
      </c>
      <c r="C120" t="s">
        <v>360</v>
      </c>
      <c r="D120" t="s">
        <v>29</v>
      </c>
      <c r="E120" t="s">
        <v>361</v>
      </c>
      <c r="F120" t="s">
        <v>257</v>
      </c>
      <c r="G120" t="str">
        <f>HYPERLINK(_xlfn.CONCAT("https://tablet.otzar.org/",CHAR(35),"/book/619173/p/-1/t/1/fs/0/start/0/end/0/c"),"ספרא &lt;דפו""""ר&gt;")</f>
        <v>ספרא &lt;דפו""ר&gt;</v>
      </c>
      <c r="H120" t="str">
        <f>_xlfn.CONCAT("https://tablet.otzar.org/",CHAR(35),"/book/619173/p/-1/t/1/fs/0/start/0/end/0/c")</f>
        <v>https://tablet.otzar.org/#/book/619173/p/-1/t/1/fs/0/start/0/end/0/c</v>
      </c>
    </row>
    <row r="121" spans="1:8" x14ac:dyDescent="0.25">
      <c r="A121">
        <v>619184</v>
      </c>
      <c r="B121" t="s">
        <v>362</v>
      </c>
      <c r="C121" t="s">
        <v>363</v>
      </c>
      <c r="D121" t="s">
        <v>144</v>
      </c>
      <c r="E121" t="s">
        <v>364</v>
      </c>
      <c r="G121" t="str">
        <f>HYPERLINK(_xlfn.CONCAT("https://tablet.otzar.org/",CHAR(35),"/book/619184/p/-1/t/1/fs/0/start/0/end/0/c"),"עבודת הקודש")</f>
        <v>עבודת הקודש</v>
      </c>
      <c r="H121" t="str">
        <f>_xlfn.CONCAT("https://tablet.otzar.org/",CHAR(35),"/book/619184/p/-1/t/1/fs/0/start/0/end/0/c")</f>
        <v>https://tablet.otzar.org/#/book/619184/p/-1/t/1/fs/0/start/0/end/0/c</v>
      </c>
    </row>
    <row r="122" spans="1:8" x14ac:dyDescent="0.25">
      <c r="A122">
        <v>619165</v>
      </c>
      <c r="B122" t="s">
        <v>365</v>
      </c>
      <c r="C122" t="s">
        <v>366</v>
      </c>
      <c r="D122" t="s">
        <v>367</v>
      </c>
      <c r="E122" t="s">
        <v>368</v>
      </c>
      <c r="F122" t="s">
        <v>17</v>
      </c>
      <c r="G122" t="str">
        <f>HYPERLINK(_xlfn.CONCAT("https://tablet.otzar.org/",CHAR(35),"/book/619165/p/-1/t/1/fs/0/start/0/end/0/c"),"עדות יעקב")</f>
        <v>עדות יעקב</v>
      </c>
      <c r="H122" t="str">
        <f>_xlfn.CONCAT("https://tablet.otzar.org/",CHAR(35),"/book/619165/p/-1/t/1/fs/0/start/0/end/0/c")</f>
        <v>https://tablet.otzar.org/#/book/619165/p/-1/t/1/fs/0/start/0/end/0/c</v>
      </c>
    </row>
    <row r="123" spans="1:8" x14ac:dyDescent="0.25">
      <c r="A123">
        <v>619183</v>
      </c>
      <c r="B123" t="s">
        <v>369</v>
      </c>
      <c r="C123" t="s">
        <v>370</v>
      </c>
      <c r="D123" t="s">
        <v>46</v>
      </c>
      <c r="E123" t="s">
        <v>172</v>
      </c>
      <c r="G123" t="str">
        <f>HYPERLINK(_xlfn.CONCAT("https://tablet.otzar.org/",CHAR(35),"/book/619183/p/-1/t/1/fs/0/start/0/end/0/c"),"עולת יצחק")</f>
        <v>עולת יצחק</v>
      </c>
      <c r="H123" t="str">
        <f>_xlfn.CONCAT("https://tablet.otzar.org/",CHAR(35),"/book/619183/p/-1/t/1/fs/0/start/0/end/0/c")</f>
        <v>https://tablet.otzar.org/#/book/619183/p/-1/t/1/fs/0/start/0/end/0/c</v>
      </c>
    </row>
    <row r="124" spans="1:8" x14ac:dyDescent="0.25">
      <c r="A124">
        <v>619196</v>
      </c>
      <c r="B124" t="s">
        <v>371</v>
      </c>
      <c r="C124" t="s">
        <v>372</v>
      </c>
      <c r="D124" t="s">
        <v>111</v>
      </c>
      <c r="E124" t="s">
        <v>216</v>
      </c>
      <c r="G124" t="str">
        <f>HYPERLINK(_xlfn.CONCAT("https://tablet.otzar.org/",CHAR(35),"/book/619196/p/-1/t/1/fs/0/start/0/end/0/c"),"עומק הלכה")</f>
        <v>עומק הלכה</v>
      </c>
      <c r="H124" t="str">
        <f>_xlfn.CONCAT("https://tablet.otzar.org/",CHAR(35),"/book/619196/p/-1/t/1/fs/0/start/0/end/0/c")</f>
        <v>https://tablet.otzar.org/#/book/619196/p/-1/t/1/fs/0/start/0/end/0/c</v>
      </c>
    </row>
    <row r="125" spans="1:8" x14ac:dyDescent="0.25">
      <c r="A125">
        <v>614592</v>
      </c>
      <c r="B125" t="s">
        <v>373</v>
      </c>
      <c r="C125" t="s">
        <v>154</v>
      </c>
      <c r="D125" t="s">
        <v>25</v>
      </c>
      <c r="E125" t="s">
        <v>299</v>
      </c>
      <c r="F125" t="s">
        <v>74</v>
      </c>
      <c r="G125" t="str">
        <f>HYPERLINK(_xlfn.CONCAT("https://tablet.otzar.org/",CHAR(35),"/book/614592/p/-1/t/1/fs/0/start/0/end/0/c"),"עטרת שלמה &lt;איסור והיתר למהרש""""ל&gt;")</f>
        <v>עטרת שלמה &lt;איסור והיתר למהרש""ל&gt;</v>
      </c>
      <c r="H125" t="str">
        <f>_xlfn.CONCAT("https://tablet.otzar.org/",CHAR(35),"/book/614592/p/-1/t/1/fs/0/start/0/end/0/c")</f>
        <v>https://tablet.otzar.org/#/book/614592/p/-1/t/1/fs/0/start/0/end/0/c</v>
      </c>
    </row>
    <row r="126" spans="1:8" x14ac:dyDescent="0.25">
      <c r="A126">
        <v>614574</v>
      </c>
      <c r="B126" t="s">
        <v>374</v>
      </c>
      <c r="C126" t="s">
        <v>375</v>
      </c>
      <c r="D126" t="s">
        <v>38</v>
      </c>
      <c r="E126" t="s">
        <v>376</v>
      </c>
      <c r="F126" t="s">
        <v>22</v>
      </c>
      <c r="G126" t="str">
        <f>HYPERLINK(_xlfn.CONCAT("https://tablet.otzar.org/",CHAR(35),"/book/614574/p/-1/t/1/fs/0/start/0/end/0/c"),"עלים לתרופה")</f>
        <v>עלים לתרופה</v>
      </c>
      <c r="H126" t="str">
        <f>_xlfn.CONCAT("https://tablet.otzar.org/",CHAR(35),"/book/614574/p/-1/t/1/fs/0/start/0/end/0/c")</f>
        <v>https://tablet.otzar.org/#/book/614574/p/-1/t/1/fs/0/start/0/end/0/c</v>
      </c>
    </row>
    <row r="127" spans="1:8" x14ac:dyDescent="0.25">
      <c r="A127">
        <v>611752</v>
      </c>
      <c r="B127" t="s">
        <v>377</v>
      </c>
      <c r="C127" t="s">
        <v>154</v>
      </c>
      <c r="D127" t="s">
        <v>208</v>
      </c>
      <c r="E127" t="s">
        <v>164</v>
      </c>
      <c r="G127" t="str">
        <f>HYPERLINK(_xlfn.CONCAT("https://tablet.otzar.org/",CHAR(35),"/book/611752/p/-1/t/1/fs/0/start/0/end/0/c"),"עמודי שלמה &lt;דפו""""ר&gt;")</f>
        <v>עמודי שלמה &lt;דפו""ר&gt;</v>
      </c>
      <c r="H127" t="str">
        <f>_xlfn.CONCAT("https://tablet.otzar.org/",CHAR(35),"/book/611752/p/-1/t/1/fs/0/start/0/end/0/c")</f>
        <v>https://tablet.otzar.org/#/book/611752/p/-1/t/1/fs/0/start/0/end/0/c</v>
      </c>
    </row>
    <row r="128" spans="1:8" x14ac:dyDescent="0.25">
      <c r="A128">
        <v>618723</v>
      </c>
      <c r="B128" t="s">
        <v>378</v>
      </c>
      <c r="C128" t="s">
        <v>174</v>
      </c>
      <c r="D128" t="s">
        <v>29</v>
      </c>
      <c r="E128" t="s">
        <v>286</v>
      </c>
      <c r="F128" t="s">
        <v>22</v>
      </c>
      <c r="G128" t="str">
        <f>HYPERLINK(_xlfn.CONCAT("https://tablet.otzar.org/",CHAR(35),"/book/618723/p/-1/t/1/fs/0/start/0/end/0/c"),"פירוש התורה לרבינו יעקב בן אשר &lt;בעל הטורים&gt;")</f>
        <v>פירוש התורה לרבינו יעקב בן אשר &lt;בעל הטורים&gt;</v>
      </c>
      <c r="H128" t="str">
        <f>_xlfn.CONCAT("https://tablet.otzar.org/",CHAR(35),"/book/618723/p/-1/t/1/fs/0/start/0/end/0/c")</f>
        <v>https://tablet.otzar.org/#/book/618723/p/-1/t/1/fs/0/start/0/end/0/c</v>
      </c>
    </row>
    <row r="129" spans="1:8" x14ac:dyDescent="0.25">
      <c r="A129">
        <v>614522</v>
      </c>
      <c r="B129" t="s">
        <v>379</v>
      </c>
      <c r="C129" t="s">
        <v>380</v>
      </c>
      <c r="D129" t="s">
        <v>381</v>
      </c>
      <c r="E129" t="s">
        <v>382</v>
      </c>
      <c r="F129" t="s">
        <v>22</v>
      </c>
      <c r="G129" t="str">
        <f>HYPERLINK(_xlfn.CONCAT("https://tablet.otzar.org/",CHAR(35),"/book/614522/p/-1/t/1/fs/0/start/0/end/0/c"),"פירוש חמש מגילות")</f>
        <v>פירוש חמש מגילות</v>
      </c>
      <c r="H129" t="str">
        <f>_xlfn.CONCAT("https://tablet.otzar.org/",CHAR(35),"/book/614522/p/-1/t/1/fs/0/start/0/end/0/c")</f>
        <v>https://tablet.otzar.org/#/book/614522/p/-1/t/1/fs/0/start/0/end/0/c</v>
      </c>
    </row>
    <row r="130" spans="1:8" x14ac:dyDescent="0.25">
      <c r="A130">
        <v>614576</v>
      </c>
      <c r="B130" t="s">
        <v>383</v>
      </c>
      <c r="C130" t="s">
        <v>384</v>
      </c>
      <c r="D130" t="s">
        <v>385</v>
      </c>
      <c r="E130" t="s">
        <v>386</v>
      </c>
      <c r="F130" t="s">
        <v>22</v>
      </c>
      <c r="G130" t="str">
        <f>HYPERLINK(_xlfn.CONCAT("https://tablet.otzar.org/",CHAR(35),"/book/614576/p/-1/t/1/fs/0/start/0/end/0/c"),"פירוש חמש מגלות")</f>
        <v>פירוש חמש מגלות</v>
      </c>
      <c r="H130" t="str">
        <f>_xlfn.CONCAT("https://tablet.otzar.org/",CHAR(35),"/book/614576/p/-1/t/1/fs/0/start/0/end/0/c")</f>
        <v>https://tablet.otzar.org/#/book/614576/p/-1/t/1/fs/0/start/0/end/0/c</v>
      </c>
    </row>
    <row r="131" spans="1:8" x14ac:dyDescent="0.25">
      <c r="A131">
        <v>614534</v>
      </c>
      <c r="B131" t="s">
        <v>387</v>
      </c>
      <c r="C131" t="s">
        <v>388</v>
      </c>
      <c r="D131" t="s">
        <v>29</v>
      </c>
      <c r="E131" t="s">
        <v>389</v>
      </c>
      <c r="G131" t="str">
        <f>HYPERLINK(_xlfn.CONCAT("https://tablet.otzar.org/",CHAR(35),"/book/614534/p/-1/t/1/fs/0/start/0/end/0/c"),"פירוש מגילת אחשורוש")</f>
        <v>פירוש מגילת אחשורוש</v>
      </c>
      <c r="H131" t="str">
        <f>_xlfn.CONCAT("https://tablet.otzar.org/",CHAR(35),"/book/614534/p/-1/t/1/fs/0/start/0/end/0/c")</f>
        <v>https://tablet.otzar.org/#/book/614534/p/-1/t/1/fs/0/start/0/end/0/c</v>
      </c>
    </row>
    <row r="132" spans="1:8" x14ac:dyDescent="0.25">
      <c r="A132">
        <v>611764</v>
      </c>
      <c r="B132" t="s">
        <v>390</v>
      </c>
      <c r="C132" t="s">
        <v>391</v>
      </c>
      <c r="D132" t="s">
        <v>72</v>
      </c>
      <c r="E132" t="s">
        <v>392</v>
      </c>
      <c r="F132" t="s">
        <v>74</v>
      </c>
      <c r="G132" t="str">
        <f>HYPERLINK(_xlfn.CONCAT("https://tablet.otzar.org/",CHAR(35),"/book/611764/p/-1/t/1/fs/0/start/0/end/0/c"),"פירוש על הרמב""""ם")</f>
        <v>פירוש על הרמב""ם</v>
      </c>
      <c r="H132" t="str">
        <f>_xlfn.CONCAT("https://tablet.otzar.org/",CHAR(35),"/book/611764/p/-1/t/1/fs/0/start/0/end/0/c")</f>
        <v>https://tablet.otzar.org/#/book/611764/p/-1/t/1/fs/0/start/0/end/0/c</v>
      </c>
    </row>
    <row r="133" spans="1:8" x14ac:dyDescent="0.25">
      <c r="A133">
        <v>619154</v>
      </c>
      <c r="B133" t="s">
        <v>393</v>
      </c>
      <c r="C133" t="s">
        <v>394</v>
      </c>
      <c r="D133" t="s">
        <v>29</v>
      </c>
      <c r="E133" t="s">
        <v>245</v>
      </c>
      <c r="G133" t="str">
        <f>HYPERLINK(_xlfn.CONCAT("https://tablet.otzar.org/",CHAR(35),"/book/619154/p/-1/t/1/fs/0/start/0/end/0/c"),"פירוש על פירוש החכם רבי אברהם אבן עזרא &lt;מגילת סתרים&gt;")</f>
        <v>פירוש על פירוש החכם רבי אברהם אבן עזרא &lt;מגילת סתרים&gt;</v>
      </c>
      <c r="H133" t="str">
        <f>_xlfn.CONCAT("https://tablet.otzar.org/",CHAR(35),"/book/619154/p/-1/t/1/fs/0/start/0/end/0/c")</f>
        <v>https://tablet.otzar.org/#/book/619154/p/-1/t/1/fs/0/start/0/end/0/c</v>
      </c>
    </row>
    <row r="134" spans="1:8" x14ac:dyDescent="0.25">
      <c r="A134">
        <v>611732</v>
      </c>
      <c r="B134" t="s">
        <v>395</v>
      </c>
      <c r="C134" t="s">
        <v>202</v>
      </c>
      <c r="D134" t="s">
        <v>396</v>
      </c>
      <c r="E134" t="s">
        <v>286</v>
      </c>
      <c r="F134" t="s">
        <v>22</v>
      </c>
      <c r="G134" t="str">
        <f>HYPERLINK(_xlfn.CONCAT("https://tablet.otzar.org/",CHAR(35),"/exKotar/611732"),"פירוש רבינו בחיי על התורה - 2 כרכים")</f>
        <v>פירוש רבינו בחיי על התורה - 2 כרכים</v>
      </c>
      <c r="H134" t="str">
        <f>_xlfn.CONCAT("https://tablet.otzar.org/",CHAR(35),"/exKotar/611732")</f>
        <v>https://tablet.otzar.org/#/exKotar/611732</v>
      </c>
    </row>
    <row r="135" spans="1:8" x14ac:dyDescent="0.25">
      <c r="A135">
        <v>619050</v>
      </c>
      <c r="B135" t="s">
        <v>397</v>
      </c>
      <c r="C135" t="s">
        <v>384</v>
      </c>
      <c r="D135" t="s">
        <v>29</v>
      </c>
      <c r="E135" t="s">
        <v>398</v>
      </c>
      <c r="F135" t="s">
        <v>22</v>
      </c>
      <c r="G135" t="str">
        <f>HYPERLINK(_xlfn.CONCAT("https://tablet.otzar.org/",CHAR(35),"/book/619050/p/-1/t/1/fs/0/start/0/end/0/c"),"פירוש רלב""""ג על התורה")</f>
        <v>פירוש רלב""ג על התורה</v>
      </c>
      <c r="H135" t="str">
        <f>_xlfn.CONCAT("https://tablet.otzar.org/",CHAR(35),"/book/619050/p/-1/t/1/fs/0/start/0/end/0/c")</f>
        <v>https://tablet.otzar.org/#/book/619050/p/-1/t/1/fs/0/start/0/end/0/c</v>
      </c>
    </row>
    <row r="136" spans="1:8" x14ac:dyDescent="0.25">
      <c r="A136">
        <v>614586</v>
      </c>
      <c r="B136" t="s">
        <v>399</v>
      </c>
      <c r="C136" t="s">
        <v>400</v>
      </c>
      <c r="D136" t="s">
        <v>401</v>
      </c>
      <c r="E136" t="s">
        <v>347</v>
      </c>
      <c r="F136" t="s">
        <v>22</v>
      </c>
      <c r="G136" t="str">
        <f>HYPERLINK(_xlfn.CONCAT("https://tablet.otzar.org/",CHAR(35),"/book/614586/p/-1/t/1/fs/0/start/0/end/0/c"),"פירוש רש""""י על התורה")</f>
        <v>פירוש רש""י על התורה</v>
      </c>
      <c r="H136" t="str">
        <f>_xlfn.CONCAT("https://tablet.otzar.org/",CHAR(35),"/book/614586/p/-1/t/1/fs/0/start/0/end/0/c")</f>
        <v>https://tablet.otzar.org/#/book/614586/p/-1/t/1/fs/0/start/0/end/0/c</v>
      </c>
    </row>
    <row r="137" spans="1:8" x14ac:dyDescent="0.25">
      <c r="A137">
        <v>619166</v>
      </c>
      <c r="B137" t="s">
        <v>402</v>
      </c>
      <c r="C137" t="s">
        <v>403</v>
      </c>
      <c r="D137" t="s">
        <v>29</v>
      </c>
      <c r="E137" t="s">
        <v>121</v>
      </c>
      <c r="G137" t="str">
        <f>HYPERLINK(_xlfn.CONCAT("https://tablet.otzar.org/",CHAR(35),"/book/619166/p/-1/t/1/fs/0/start/0/end/0/c"),"פלגי מים")</f>
        <v>פלגי מים</v>
      </c>
      <c r="H137" t="str">
        <f>_xlfn.CONCAT("https://tablet.otzar.org/",CHAR(35),"/book/619166/p/-1/t/1/fs/0/start/0/end/0/c")</f>
        <v>https://tablet.otzar.org/#/book/619166/p/-1/t/1/fs/0/start/0/end/0/c</v>
      </c>
    </row>
    <row r="138" spans="1:8" x14ac:dyDescent="0.25">
      <c r="A138">
        <v>619201</v>
      </c>
      <c r="B138" t="s">
        <v>404</v>
      </c>
      <c r="C138" t="s">
        <v>405</v>
      </c>
      <c r="D138" t="s">
        <v>25</v>
      </c>
      <c r="E138" t="s">
        <v>406</v>
      </c>
      <c r="G138" t="str">
        <f>HYPERLINK(_xlfn.CONCAT("https://tablet.otzar.org/",CHAR(35),"/book/619201/p/-1/t/1/fs/0/start/0/end/0/c"),"פני משה")</f>
        <v>פני משה</v>
      </c>
      <c r="H138" t="str">
        <f>_xlfn.CONCAT("https://tablet.otzar.org/",CHAR(35),"/book/619201/p/-1/t/1/fs/0/start/0/end/0/c")</f>
        <v>https://tablet.otzar.org/#/book/619201/p/-1/t/1/fs/0/start/0/end/0/c</v>
      </c>
    </row>
    <row r="139" spans="1:8" x14ac:dyDescent="0.25">
      <c r="A139">
        <v>614585</v>
      </c>
      <c r="B139" t="s">
        <v>407</v>
      </c>
      <c r="C139" t="s">
        <v>408</v>
      </c>
      <c r="D139" t="s">
        <v>15</v>
      </c>
      <c r="E139" t="s">
        <v>409</v>
      </c>
      <c r="F139" t="s">
        <v>74</v>
      </c>
      <c r="G139" t="str">
        <f>HYPERLINK(_xlfn.CONCAT("https://tablet.otzar.org/",CHAR(35),"/book/614585/p/-1/t/1/fs/0/start/0/end/0/c"),"פסק פסקו שלשת האלופים")</f>
        <v>פסק פסקו שלשת האלופים</v>
      </c>
      <c r="H139" t="str">
        <f>_xlfn.CONCAT("https://tablet.otzar.org/",CHAR(35),"/book/614585/p/-1/t/1/fs/0/start/0/end/0/c")</f>
        <v>https://tablet.otzar.org/#/book/614585/p/-1/t/1/fs/0/start/0/end/0/c</v>
      </c>
    </row>
    <row r="140" spans="1:8" x14ac:dyDescent="0.25">
      <c r="A140">
        <v>614525</v>
      </c>
      <c r="B140" t="s">
        <v>410</v>
      </c>
      <c r="C140" t="s">
        <v>411</v>
      </c>
      <c r="D140" t="s">
        <v>46</v>
      </c>
      <c r="E140" t="s">
        <v>368</v>
      </c>
      <c r="G140" t="str">
        <f>HYPERLINK(_xlfn.CONCAT("https://tablet.otzar.org/",CHAR(35),"/exKotar/614525"),"פסקי הרא""""ש ע""""פ מעדני מלך ולחם חמודות &lt;דפו""""ר&gt; - 2 כרכים")</f>
        <v>פסקי הרא""ש ע""פ מעדני מלך ולחם חמודות &lt;דפו""ר&gt; - 2 כרכים</v>
      </c>
      <c r="H140" t="str">
        <f>_xlfn.CONCAT("https://tablet.otzar.org/",CHAR(35),"/exKotar/614525")</f>
        <v>https://tablet.otzar.org/#/exKotar/614525</v>
      </c>
    </row>
    <row r="141" spans="1:8" x14ac:dyDescent="0.25">
      <c r="A141">
        <v>619150</v>
      </c>
      <c r="B141" t="s">
        <v>412</v>
      </c>
      <c r="C141" t="s">
        <v>413</v>
      </c>
      <c r="D141" t="s">
        <v>58</v>
      </c>
      <c r="E141" t="s">
        <v>414</v>
      </c>
      <c r="F141" t="s">
        <v>74</v>
      </c>
      <c r="G141" t="str">
        <f>HYPERLINK(_xlfn.CONCAT("https://tablet.otzar.org/",CHAR(35),"/book/619150/p/-1/t/1/fs/0/start/0/end/0/c"),"פסקים וכתבים")</f>
        <v>פסקים וכתבים</v>
      </c>
      <c r="H141" t="str">
        <f>_xlfn.CONCAT("https://tablet.otzar.org/",CHAR(35),"/book/619150/p/-1/t/1/fs/0/start/0/end/0/c")</f>
        <v>https://tablet.otzar.org/#/book/619150/p/-1/t/1/fs/0/start/0/end/0/c</v>
      </c>
    </row>
    <row r="142" spans="1:8" x14ac:dyDescent="0.25">
      <c r="A142">
        <v>614537</v>
      </c>
      <c r="B142" t="s">
        <v>415</v>
      </c>
      <c r="C142" t="s">
        <v>416</v>
      </c>
      <c r="D142" t="s">
        <v>111</v>
      </c>
      <c r="E142" t="s">
        <v>417</v>
      </c>
      <c r="G142" t="str">
        <f>HYPERLINK(_xlfn.CONCAT("https://tablet.otzar.org/",CHAR(35),"/book/614537/p/-1/t/1/fs/0/start/0/end/0/c"),"פרדס רמונים")</f>
        <v>פרדס רמונים</v>
      </c>
      <c r="H142" t="str">
        <f>_xlfn.CONCAT("https://tablet.otzar.org/",CHAR(35),"/book/614537/p/-1/t/1/fs/0/start/0/end/0/c")</f>
        <v>https://tablet.otzar.org/#/book/614537/p/-1/t/1/fs/0/start/0/end/0/c</v>
      </c>
    </row>
    <row r="143" spans="1:8" x14ac:dyDescent="0.25">
      <c r="A143">
        <v>619041</v>
      </c>
      <c r="B143" t="s">
        <v>418</v>
      </c>
      <c r="C143" t="s">
        <v>45</v>
      </c>
      <c r="D143" t="s">
        <v>46</v>
      </c>
      <c r="E143" t="s">
        <v>186</v>
      </c>
      <c r="G143" t="str">
        <f>HYPERLINK(_xlfn.CONCAT("https://tablet.otzar.org/",CHAR(35),"/book/619041/p/-1/t/1/fs/0/start/0/end/0/c"),"פתחי יה")</f>
        <v>פתחי יה</v>
      </c>
      <c r="H143" t="str">
        <f>_xlfn.CONCAT("https://tablet.otzar.org/",CHAR(35),"/book/619041/p/-1/t/1/fs/0/start/0/end/0/c")</f>
        <v>https://tablet.otzar.org/#/book/619041/p/-1/t/1/fs/0/start/0/end/0/c</v>
      </c>
    </row>
    <row r="144" spans="1:8" x14ac:dyDescent="0.25">
      <c r="A144">
        <v>611760</v>
      </c>
      <c r="B144" t="s">
        <v>419</v>
      </c>
      <c r="C144" t="s">
        <v>420</v>
      </c>
      <c r="D144" t="s">
        <v>29</v>
      </c>
      <c r="E144" t="s">
        <v>421</v>
      </c>
      <c r="F144" t="s">
        <v>22</v>
      </c>
      <c r="G144" t="str">
        <f>HYPERLINK(_xlfn.CONCAT("https://tablet.otzar.org/",CHAR(35),"/book/611760/p/-1/t/1/fs/0/start/0/end/0/c"),"צרור המור &lt;דפו""""ר&gt;")</f>
        <v>צרור המור &lt;דפו""ר&gt;</v>
      </c>
      <c r="H144" t="str">
        <f>_xlfn.CONCAT("https://tablet.otzar.org/",CHAR(35),"/book/611760/p/-1/t/1/fs/0/start/0/end/0/c")</f>
        <v>https://tablet.otzar.org/#/book/611760/p/-1/t/1/fs/0/start/0/end/0/c</v>
      </c>
    </row>
    <row r="145" spans="1:8" x14ac:dyDescent="0.25">
      <c r="A145">
        <v>146325</v>
      </c>
      <c r="B145" t="s">
        <v>422</v>
      </c>
      <c r="C145" t="s">
        <v>423</v>
      </c>
      <c r="D145" t="s">
        <v>424</v>
      </c>
      <c r="E145" t="s">
        <v>425</v>
      </c>
      <c r="F145" t="s">
        <v>426</v>
      </c>
      <c r="G145" t="str">
        <f>HYPERLINK(_xlfn.CONCAT("https://tablet.otzar.org/",CHAR(35),"/book/146325/p/-1/t/1/fs/0/start/0/end/0/c"),"קונטרס אמרות קודש על המגיד ממעזריטש")</f>
        <v>קונטרס אמרות קודש על המגיד ממעזריטש</v>
      </c>
      <c r="H145" t="str">
        <f>_xlfn.CONCAT("https://tablet.otzar.org/",CHAR(35),"/book/146325/p/-1/t/1/fs/0/start/0/end/0/c")</f>
        <v>https://tablet.otzar.org/#/book/146325/p/-1/t/1/fs/0/start/0/end/0/c</v>
      </c>
    </row>
    <row r="146" spans="1:8" x14ac:dyDescent="0.25">
      <c r="A146">
        <v>621592</v>
      </c>
      <c r="B146" t="s">
        <v>427</v>
      </c>
      <c r="C146" t="s">
        <v>428</v>
      </c>
      <c r="D146" t="s">
        <v>429</v>
      </c>
      <c r="E146" t="s">
        <v>376</v>
      </c>
      <c r="F146" t="s">
        <v>117</v>
      </c>
      <c r="G146" t="str">
        <f>HYPERLINK(_xlfn.CONCAT("https://tablet.otzar.org/",CHAR(35),"/book/621592/p/-1/t/1/fs/0/start/0/end/0/c"),"קרבן ראשית")</f>
        <v>קרבן ראשית</v>
      </c>
      <c r="H146" t="str">
        <f>_xlfn.CONCAT("https://tablet.otzar.org/",CHAR(35),"/book/621592/p/-1/t/1/fs/0/start/0/end/0/c")</f>
        <v>https://tablet.otzar.org/#/book/621592/p/-1/t/1/fs/0/start/0/end/0/c</v>
      </c>
    </row>
    <row r="147" spans="1:8" x14ac:dyDescent="0.25">
      <c r="A147">
        <v>611751</v>
      </c>
      <c r="B147" t="s">
        <v>430</v>
      </c>
      <c r="C147" t="s">
        <v>137</v>
      </c>
      <c r="D147" t="s">
        <v>58</v>
      </c>
      <c r="E147" t="s">
        <v>431</v>
      </c>
      <c r="F147" t="s">
        <v>22</v>
      </c>
      <c r="G147" t="str">
        <f>HYPERLINK(_xlfn.CONCAT("https://tablet.otzar.org/",CHAR(35),"/book/611751/p/-1/t/1/fs/0/start/0/end/0/c"),"רוממות אל &lt;דפו""""ר&gt;")</f>
        <v>רוממות אל &lt;דפו""ר&gt;</v>
      </c>
      <c r="H147" t="str">
        <f>_xlfn.CONCAT("https://tablet.otzar.org/",CHAR(35),"/book/611751/p/-1/t/1/fs/0/start/0/end/0/c")</f>
        <v>https://tablet.otzar.org/#/book/611751/p/-1/t/1/fs/0/start/0/end/0/c</v>
      </c>
    </row>
    <row r="148" spans="1:8" x14ac:dyDescent="0.25">
      <c r="A148">
        <v>614581</v>
      </c>
      <c r="B148" t="s">
        <v>432</v>
      </c>
      <c r="C148" t="s">
        <v>433</v>
      </c>
      <c r="D148" t="s">
        <v>38</v>
      </c>
      <c r="E148" t="s">
        <v>434</v>
      </c>
      <c r="G148" t="str">
        <f>HYPERLINK(_xlfn.CONCAT("https://tablet.otzar.org/",CHAR(35),"/book/614581/p/-1/t/1/fs/0/start/0/end/0/c"),"רזיאל המלאך &lt;דפו""""ר&gt;")</f>
        <v>רזיאל המלאך &lt;דפו""ר&gt;</v>
      </c>
      <c r="H148" t="str">
        <f>_xlfn.CONCAT("https://tablet.otzar.org/",CHAR(35),"/book/614581/p/-1/t/1/fs/0/start/0/end/0/c")</f>
        <v>https://tablet.otzar.org/#/book/614581/p/-1/t/1/fs/0/start/0/end/0/c</v>
      </c>
    </row>
    <row r="149" spans="1:8" x14ac:dyDescent="0.25">
      <c r="A149">
        <v>619048</v>
      </c>
      <c r="B149" t="s">
        <v>435</v>
      </c>
      <c r="C149" t="s">
        <v>436</v>
      </c>
      <c r="D149" t="s">
        <v>38</v>
      </c>
      <c r="E149" t="s">
        <v>437</v>
      </c>
      <c r="G149" t="str">
        <f>HYPERLINK(_xlfn.CONCAT("https://tablet.otzar.org/",CHAR(35),"/book/619048/p/-1/t/1/fs/0/start/0/end/0/c"),"שאגת אריה")</f>
        <v>שאגת אריה</v>
      </c>
      <c r="H149" t="str">
        <f>_xlfn.CONCAT("https://tablet.otzar.org/",CHAR(35),"/book/619048/p/-1/t/1/fs/0/start/0/end/0/c")</f>
        <v>https://tablet.otzar.org/#/book/619048/p/-1/t/1/fs/0/start/0/end/0/c</v>
      </c>
    </row>
    <row r="150" spans="1:8" x14ac:dyDescent="0.25">
      <c r="A150">
        <v>618728</v>
      </c>
      <c r="B150" t="s">
        <v>438</v>
      </c>
      <c r="C150" t="s">
        <v>439</v>
      </c>
      <c r="D150" t="s">
        <v>29</v>
      </c>
      <c r="E150" t="s">
        <v>440</v>
      </c>
      <c r="G150" t="str">
        <f>HYPERLINK(_xlfn.CONCAT("https://tablet.otzar.org/",CHAR(35),"/book/618728/p/-1/t/1/fs/0/start/0/end/0/c"),"שאלות")</f>
        <v>שאלות</v>
      </c>
      <c r="H150" t="str">
        <f>_xlfn.CONCAT("https://tablet.otzar.org/",CHAR(35),"/book/618728/p/-1/t/1/fs/0/start/0/end/0/c")</f>
        <v>https://tablet.otzar.org/#/book/618728/p/-1/t/1/fs/0/start/0/end/0/c</v>
      </c>
    </row>
    <row r="151" spans="1:8" x14ac:dyDescent="0.25">
      <c r="A151">
        <v>611729</v>
      </c>
      <c r="B151" t="s">
        <v>441</v>
      </c>
      <c r="C151" t="s">
        <v>215</v>
      </c>
      <c r="D151" t="s">
        <v>72</v>
      </c>
      <c r="E151" t="s">
        <v>216</v>
      </c>
      <c r="F151" t="s">
        <v>150</v>
      </c>
      <c r="G151" t="str">
        <f>HYPERLINK(_xlfn.CONCAT("https://tablet.otzar.org/",CHAR(35),"/book/611729/p/-1/t/1/fs/0/start/0/end/0/c"),"שאלות ותשובות &lt;בית יוסף&gt;")</f>
        <v>שאלות ותשובות &lt;בית יוסף&gt;</v>
      </c>
      <c r="H151" t="str">
        <f>_xlfn.CONCAT("https://tablet.otzar.org/",CHAR(35),"/book/611729/p/-1/t/1/fs/0/start/0/end/0/c")</f>
        <v>https://tablet.otzar.org/#/book/611729/p/-1/t/1/fs/0/start/0/end/0/c</v>
      </c>
    </row>
    <row r="152" spans="1:8" x14ac:dyDescent="0.25">
      <c r="A152">
        <v>614593</v>
      </c>
      <c r="B152" t="s">
        <v>442</v>
      </c>
      <c r="C152" t="s">
        <v>443</v>
      </c>
      <c r="D152" t="s">
        <v>29</v>
      </c>
      <c r="E152" t="s">
        <v>444</v>
      </c>
      <c r="F152" t="s">
        <v>150</v>
      </c>
      <c r="G152" t="str">
        <f>HYPERLINK(_xlfn.CONCAT("https://tablet.otzar.org/",CHAR(35),"/book/614593/p/-1/t/1/fs/0/start/0/end/0/c"),"שאלות ותשובות מהר""""י לבית הלוי &lt;מהדורה שניה&gt;")</f>
        <v>שאלות ותשובות מהר""י לבית הלוי &lt;מהדורה שניה&gt;</v>
      </c>
      <c r="H152" t="str">
        <f>_xlfn.CONCAT("https://tablet.otzar.org/",CHAR(35),"/book/614593/p/-1/t/1/fs/0/start/0/end/0/c")</f>
        <v>https://tablet.otzar.org/#/book/614593/p/-1/t/1/fs/0/start/0/end/0/c</v>
      </c>
    </row>
    <row r="153" spans="1:8" x14ac:dyDescent="0.25">
      <c r="A153">
        <v>619176</v>
      </c>
      <c r="B153" t="s">
        <v>445</v>
      </c>
      <c r="C153" t="s">
        <v>446</v>
      </c>
      <c r="D153" t="s">
        <v>72</v>
      </c>
      <c r="E153" t="s">
        <v>164</v>
      </c>
      <c r="F153" t="s">
        <v>176</v>
      </c>
      <c r="G153" t="str">
        <f>HYPERLINK(_xlfn.CONCAT("https://tablet.otzar.org/",CHAR(35),"/book/619176/p/-1/t/1/fs/0/start/0/end/0/c"),"שארית יהודה")</f>
        <v>שארית יהודה</v>
      </c>
      <c r="H153" t="str">
        <f>_xlfn.CONCAT("https://tablet.otzar.org/",CHAR(35),"/book/619176/p/-1/t/1/fs/0/start/0/end/0/c")</f>
        <v>https://tablet.otzar.org/#/book/619176/p/-1/t/1/fs/0/start/0/end/0/c</v>
      </c>
    </row>
    <row r="154" spans="1:8" x14ac:dyDescent="0.25">
      <c r="A154">
        <v>619134</v>
      </c>
      <c r="B154" t="s">
        <v>447</v>
      </c>
      <c r="C154" t="s">
        <v>448</v>
      </c>
      <c r="D154" t="s">
        <v>111</v>
      </c>
      <c r="E154" t="s">
        <v>449</v>
      </c>
      <c r="G154" t="str">
        <f>HYPERLINK(_xlfn.CONCAT("https://tablet.otzar.org/",CHAR(35),"/book/619134/p/-1/t/1/fs/0/start/0/end/0/c"),"שארית יוסף")</f>
        <v>שארית יוסף</v>
      </c>
      <c r="H154" t="str">
        <f>_xlfn.CONCAT("https://tablet.otzar.org/",CHAR(35),"/book/619134/p/-1/t/1/fs/0/start/0/end/0/c")</f>
        <v>https://tablet.otzar.org/#/book/619134/p/-1/t/1/fs/0/start/0/end/0/c</v>
      </c>
    </row>
    <row r="155" spans="1:8" x14ac:dyDescent="0.25">
      <c r="A155">
        <v>619199</v>
      </c>
      <c r="B155" t="s">
        <v>450</v>
      </c>
      <c r="C155" t="s">
        <v>451</v>
      </c>
      <c r="D155" t="s">
        <v>72</v>
      </c>
      <c r="E155" t="s">
        <v>21</v>
      </c>
      <c r="G155" t="str">
        <f>HYPERLINK(_xlfn.CONCAT("https://tablet.otzar.org/",CHAR(35),"/book/619199/p/-1/t/1/fs/0/start/0/end/0/c"),"שארית יעקב")</f>
        <v>שארית יעקב</v>
      </c>
      <c r="H155" t="str">
        <f>_xlfn.CONCAT("https://tablet.otzar.org/",CHAR(35),"/book/619199/p/-1/t/1/fs/0/start/0/end/0/c")</f>
        <v>https://tablet.otzar.org/#/book/619199/p/-1/t/1/fs/0/start/0/end/0/c</v>
      </c>
    </row>
    <row r="156" spans="1:8" x14ac:dyDescent="0.25">
      <c r="A156">
        <v>611742</v>
      </c>
      <c r="B156" t="s">
        <v>452</v>
      </c>
      <c r="C156" t="s">
        <v>453</v>
      </c>
      <c r="D156" t="s">
        <v>38</v>
      </c>
      <c r="E156" t="s">
        <v>191</v>
      </c>
      <c r="F156" t="s">
        <v>17</v>
      </c>
      <c r="G156" t="str">
        <f>HYPERLINK(_xlfn.CONCAT("https://tablet.otzar.org/",CHAR(35),"/book/611742/p/-1/t/1/fs/0/start/0/end/0/c"),"שבט יהודה")</f>
        <v>שבט יהודה</v>
      </c>
      <c r="H156" t="str">
        <f>_xlfn.CONCAT("https://tablet.otzar.org/",CHAR(35),"/book/611742/p/-1/t/1/fs/0/start/0/end/0/c")</f>
        <v>https://tablet.otzar.org/#/book/611742/p/-1/t/1/fs/0/start/0/end/0/c</v>
      </c>
    </row>
    <row r="157" spans="1:8" x14ac:dyDescent="0.25">
      <c r="A157">
        <v>619179</v>
      </c>
      <c r="B157" t="s">
        <v>454</v>
      </c>
      <c r="C157" t="s">
        <v>279</v>
      </c>
      <c r="D157" t="s">
        <v>38</v>
      </c>
      <c r="E157" t="s">
        <v>280</v>
      </c>
      <c r="G157" t="str">
        <f>HYPERLINK(_xlfn.CONCAT("https://tablet.otzar.org/",CHAR(35),"/book/619179/p/-1/t/1/fs/0/start/0/end/0/c"),"שבר פושעים")</f>
        <v>שבר פושעים</v>
      </c>
      <c r="H157" t="str">
        <f>_xlfn.CONCAT("https://tablet.otzar.org/",CHAR(35),"/book/619179/p/-1/t/1/fs/0/start/0/end/0/c")</f>
        <v>https://tablet.otzar.org/#/book/619179/p/-1/t/1/fs/0/start/0/end/0/c</v>
      </c>
    </row>
    <row r="158" spans="1:8" x14ac:dyDescent="0.25">
      <c r="A158">
        <v>619164</v>
      </c>
      <c r="B158" t="s">
        <v>455</v>
      </c>
      <c r="C158" t="s">
        <v>456</v>
      </c>
      <c r="D158" t="s">
        <v>457</v>
      </c>
      <c r="E158" t="s">
        <v>361</v>
      </c>
      <c r="F158" t="s">
        <v>150</v>
      </c>
      <c r="G158" t="str">
        <f>HYPERLINK(_xlfn.CONCAT("https://tablet.otzar.org/",CHAR(35),"/book/619164/p/-1/t/1/fs/0/start/0/end/0/c"),"שו""""ת הר""""ן &lt;דפו""""ר&gt;")</f>
        <v>שו""ת הר""ן &lt;דפו""ר&gt;</v>
      </c>
      <c r="H158" t="str">
        <f>_xlfn.CONCAT("https://tablet.otzar.org/",CHAR(35),"/book/619164/p/-1/t/1/fs/0/start/0/end/0/c")</f>
        <v>https://tablet.otzar.org/#/book/619164/p/-1/t/1/fs/0/start/0/end/0/c</v>
      </c>
    </row>
    <row r="159" spans="1:8" x14ac:dyDescent="0.25">
      <c r="A159">
        <v>614527</v>
      </c>
      <c r="B159" t="s">
        <v>458</v>
      </c>
      <c r="C159" t="s">
        <v>459</v>
      </c>
      <c r="D159" t="s">
        <v>20</v>
      </c>
      <c r="E159" t="s">
        <v>460</v>
      </c>
      <c r="F159" t="s">
        <v>150</v>
      </c>
      <c r="G159" t="str">
        <f>HYPERLINK(_xlfn.CONCAT("https://tablet.otzar.org/",CHAR(35),"/exKotar/614527"),"שו""""ת הראנ""""ח - 2 כרכים")</f>
        <v>שו""ת הראנ""ח - 2 כרכים</v>
      </c>
      <c r="H159" t="str">
        <f>_xlfn.CONCAT("https://tablet.otzar.org/",CHAR(35),"/exKotar/614527")</f>
        <v>https://tablet.otzar.org/#/exKotar/614527</v>
      </c>
    </row>
    <row r="160" spans="1:8" x14ac:dyDescent="0.25">
      <c r="A160">
        <v>619185</v>
      </c>
      <c r="B160" t="s">
        <v>461</v>
      </c>
      <c r="C160" t="s">
        <v>462</v>
      </c>
      <c r="D160" t="s">
        <v>29</v>
      </c>
      <c r="E160" t="s">
        <v>164</v>
      </c>
      <c r="F160" t="s">
        <v>150</v>
      </c>
      <c r="G160" t="str">
        <f>HYPERLINK(_xlfn.CONCAT("https://tablet.otzar.org/",CHAR(35),"/book/619185/p/-1/t/1/fs/0/start/0/end/0/c"),"שו""""ת הרמ""""ע מפאנו")</f>
        <v>שו""ת הרמ""ע מפאנו</v>
      </c>
      <c r="H160" t="str">
        <f>_xlfn.CONCAT("https://tablet.otzar.org/",CHAR(35),"/book/619185/p/-1/t/1/fs/0/start/0/end/0/c")</f>
        <v>https://tablet.otzar.org/#/book/619185/p/-1/t/1/fs/0/start/0/end/0/c</v>
      </c>
    </row>
    <row r="161" spans="1:8" x14ac:dyDescent="0.25">
      <c r="A161">
        <v>622195</v>
      </c>
      <c r="B161" t="s">
        <v>463</v>
      </c>
      <c r="C161" t="s">
        <v>464</v>
      </c>
      <c r="D161" t="s">
        <v>381</v>
      </c>
      <c r="E161" t="s">
        <v>465</v>
      </c>
      <c r="F161" t="s">
        <v>150</v>
      </c>
      <c r="G161" t="str">
        <f>HYPERLINK(_xlfn.CONCAT("https://tablet.otzar.org/",CHAR(35),"/book/622195/p/-1/t/1/fs/0/start/0/end/0/c"),"שו""""ת הרשב""""א &lt;בולוניה רצ""""ט&gt;")</f>
        <v>שו""ת הרשב""א &lt;בולוניה רצ""ט&gt;</v>
      </c>
      <c r="H161" t="str">
        <f>_xlfn.CONCAT("https://tablet.otzar.org/",CHAR(35),"/book/622195/p/-1/t/1/fs/0/start/0/end/0/c")</f>
        <v>https://tablet.otzar.org/#/book/622195/p/-1/t/1/fs/0/start/0/end/0/c</v>
      </c>
    </row>
    <row r="162" spans="1:8" x14ac:dyDescent="0.25">
      <c r="A162">
        <v>621559</v>
      </c>
      <c r="B162" t="s">
        <v>466</v>
      </c>
      <c r="C162" t="s">
        <v>464</v>
      </c>
      <c r="D162" t="s">
        <v>467</v>
      </c>
      <c r="E162" t="s">
        <v>376</v>
      </c>
      <c r="F162" t="s">
        <v>150</v>
      </c>
      <c r="G162" t="str">
        <f>HYPERLINK(_xlfn.CONCAT("https://tablet.otzar.org/",CHAR(35),"/book/621559/p/-1/t/1/fs/0/start/0/end/0/c"),"שו""""ת הרשב""""א - ג")</f>
        <v>שו""ת הרשב""א - ג</v>
      </c>
      <c r="H162" t="str">
        <f>_xlfn.CONCAT("https://tablet.otzar.org/",CHAR(35),"/book/621559/p/-1/t/1/fs/0/start/0/end/0/c")</f>
        <v>https://tablet.otzar.org/#/book/621559/p/-1/t/1/fs/0/start/0/end/0/c</v>
      </c>
    </row>
    <row r="163" spans="1:8" x14ac:dyDescent="0.25">
      <c r="A163">
        <v>614590</v>
      </c>
      <c r="B163" t="s">
        <v>468</v>
      </c>
      <c r="C163" t="s">
        <v>469</v>
      </c>
      <c r="D163" t="s">
        <v>470</v>
      </c>
      <c r="E163" t="s">
        <v>172</v>
      </c>
      <c r="F163" t="s">
        <v>471</v>
      </c>
      <c r="G163" t="str">
        <f>HYPERLINK(_xlfn.CONCAT("https://tablet.otzar.org/",CHAR(35),"/book/614590/p/-1/t/1/fs/0/start/0/end/0/c"),"שו""""ת מהר""""י בן לב - ד")</f>
        <v>שו""ת מהר""י בן לב - ד</v>
      </c>
      <c r="H163" t="str">
        <f>_xlfn.CONCAT("https://tablet.otzar.org/",CHAR(35),"/book/614590/p/-1/t/1/fs/0/start/0/end/0/c")</f>
        <v>https://tablet.otzar.org/#/book/614590/p/-1/t/1/fs/0/start/0/end/0/c</v>
      </c>
    </row>
    <row r="164" spans="1:8" x14ac:dyDescent="0.25">
      <c r="A164">
        <v>614591</v>
      </c>
      <c r="B164" t="s">
        <v>472</v>
      </c>
      <c r="C164" t="s">
        <v>137</v>
      </c>
      <c r="D164" t="s">
        <v>29</v>
      </c>
      <c r="E164" t="s">
        <v>431</v>
      </c>
      <c r="F164" t="s">
        <v>150</v>
      </c>
      <c r="G164" t="str">
        <f>HYPERLINK(_xlfn.CONCAT("https://tablet.otzar.org/",CHAR(35),"/book/614591/p/-1/t/1/fs/0/start/0/end/0/c"),"שו""""ת מהר""""ם אלשיך")</f>
        <v>שו""ת מהר""ם אלשיך</v>
      </c>
      <c r="H164" t="str">
        <f>_xlfn.CONCAT("https://tablet.otzar.org/",CHAR(35),"/book/614591/p/-1/t/1/fs/0/start/0/end/0/c")</f>
        <v>https://tablet.otzar.org/#/book/614591/p/-1/t/1/fs/0/start/0/end/0/c</v>
      </c>
    </row>
    <row r="165" spans="1:8" x14ac:dyDescent="0.25">
      <c r="A165">
        <v>614588</v>
      </c>
      <c r="B165" t="s">
        <v>473</v>
      </c>
      <c r="C165" t="s">
        <v>474</v>
      </c>
      <c r="D165" t="s">
        <v>29</v>
      </c>
      <c r="E165" t="s">
        <v>389</v>
      </c>
      <c r="F165" t="s">
        <v>150</v>
      </c>
      <c r="G165" t="str">
        <f>HYPERLINK(_xlfn.CONCAT("https://tablet.otzar.org/",CHAR(35),"/book/614588/p/-1/t/1/fs/0/start/0/end/0/c"),"שו""""ת מהרלב""""ח &lt;דפו""""ר&gt;")</f>
        <v>שו""ת מהרלב""ח &lt;דפו""ר&gt;</v>
      </c>
      <c r="H165" t="str">
        <f>_xlfn.CONCAT("https://tablet.otzar.org/",CHAR(35),"/book/614588/p/-1/t/1/fs/0/start/0/end/0/c")</f>
        <v>https://tablet.otzar.org/#/book/614588/p/-1/t/1/fs/0/start/0/end/0/c</v>
      </c>
    </row>
    <row r="166" spans="1:8" x14ac:dyDescent="0.25">
      <c r="A166">
        <v>614596</v>
      </c>
      <c r="B166" t="s">
        <v>475</v>
      </c>
      <c r="C166" t="s">
        <v>476</v>
      </c>
      <c r="D166" t="s">
        <v>477</v>
      </c>
      <c r="E166" t="s">
        <v>295</v>
      </c>
      <c r="F166" t="s">
        <v>150</v>
      </c>
      <c r="G166" t="str">
        <f>HYPERLINK(_xlfn.CONCAT("https://tablet.otzar.org/",CHAR(35),"/exKotar/614596"),"שו""""ת מהרש""""ך &lt;דפו""""ר&gt; - 2 כרכים")</f>
        <v>שו""ת מהרש""ך &lt;דפו""ר&gt; - 2 כרכים</v>
      </c>
      <c r="H166" t="str">
        <f>_xlfn.CONCAT("https://tablet.otzar.org/",CHAR(35),"/exKotar/614596")</f>
        <v>https://tablet.otzar.org/#/exKotar/614596</v>
      </c>
    </row>
    <row r="167" spans="1:8" x14ac:dyDescent="0.25">
      <c r="A167">
        <v>611756</v>
      </c>
      <c r="B167" t="s">
        <v>478</v>
      </c>
      <c r="C167" t="s">
        <v>479</v>
      </c>
      <c r="D167" t="s">
        <v>10</v>
      </c>
      <c r="E167" t="s">
        <v>368</v>
      </c>
      <c r="F167" t="s">
        <v>17</v>
      </c>
      <c r="G167" t="str">
        <f>HYPERLINK(_xlfn.CONCAT("https://tablet.otzar.org/",CHAR(35),"/book/611756/p/-1/t/1/fs/0/start/0/end/0/c"),"שיח יצחק")</f>
        <v>שיח יצחק</v>
      </c>
      <c r="H167" t="str">
        <f>_xlfn.CONCAT("https://tablet.otzar.org/",CHAR(35),"/book/611756/p/-1/t/1/fs/0/start/0/end/0/c")</f>
        <v>https://tablet.otzar.org/#/book/611756/p/-1/t/1/fs/0/start/0/end/0/c</v>
      </c>
    </row>
    <row r="168" spans="1:8" x14ac:dyDescent="0.25">
      <c r="A168">
        <v>619198</v>
      </c>
      <c r="B168" t="s">
        <v>480</v>
      </c>
      <c r="C168" t="s">
        <v>481</v>
      </c>
      <c r="D168" t="s">
        <v>20</v>
      </c>
      <c r="E168" t="s">
        <v>482</v>
      </c>
      <c r="F168" t="s">
        <v>22</v>
      </c>
      <c r="G168" t="str">
        <f>HYPERLINK(_xlfn.CONCAT("https://tablet.otzar.org/",CHAR(35),"/book/619198/p/-1/t/1/fs/0/start/0/end/0/c"),"שלום אסתר")</f>
        <v>שלום אסתר</v>
      </c>
      <c r="H168" t="str">
        <f>_xlfn.CONCAT("https://tablet.otzar.org/",CHAR(35),"/book/619198/p/-1/t/1/fs/0/start/0/end/0/c")</f>
        <v>https://tablet.otzar.org/#/book/619198/p/-1/t/1/fs/0/start/0/end/0/c</v>
      </c>
    </row>
    <row r="169" spans="1:8" x14ac:dyDescent="0.25">
      <c r="A169">
        <v>622182</v>
      </c>
      <c r="B169" t="s">
        <v>483</v>
      </c>
      <c r="C169" t="s">
        <v>215</v>
      </c>
      <c r="D169" t="s">
        <v>58</v>
      </c>
      <c r="E169" t="s">
        <v>200</v>
      </c>
      <c r="F169" t="s">
        <v>176</v>
      </c>
      <c r="G169" t="str">
        <f>HYPERLINK(_xlfn.CONCAT("https://tablet.otzar.org/",CHAR(35),"/book/622182/p/-1/t/1/fs/0/start/0/end/0/c"),"שלחן ערוך")</f>
        <v>שלחן ערוך</v>
      </c>
      <c r="H169" t="str">
        <f>_xlfn.CONCAT("https://tablet.otzar.org/",CHAR(35),"/book/622182/p/-1/t/1/fs/0/start/0/end/0/c")</f>
        <v>https://tablet.otzar.org/#/book/622182/p/-1/t/1/fs/0/start/0/end/0/c</v>
      </c>
    </row>
    <row r="170" spans="1:8" x14ac:dyDescent="0.25">
      <c r="A170">
        <v>621594</v>
      </c>
      <c r="B170" t="s">
        <v>484</v>
      </c>
      <c r="C170" t="s">
        <v>485</v>
      </c>
      <c r="D170" t="s">
        <v>486</v>
      </c>
      <c r="E170" t="s">
        <v>487</v>
      </c>
      <c r="F170" t="s">
        <v>488</v>
      </c>
      <c r="G170" t="str">
        <f>HYPERLINK(_xlfn.CONCAT("https://tablet.otzar.org/",CHAR(35),"/book/621594/p/-1/t/1/fs/0/start/0/end/0/c"),"שמלת בנימין")</f>
        <v>שמלת בנימין</v>
      </c>
      <c r="H170" t="str">
        <f>_xlfn.CONCAT("https://tablet.otzar.org/",CHAR(35),"/book/621594/p/-1/t/1/fs/0/start/0/end/0/c")</f>
        <v>https://tablet.otzar.org/#/book/621594/p/-1/t/1/fs/0/start/0/end/0/c</v>
      </c>
    </row>
    <row r="171" spans="1:8" x14ac:dyDescent="0.25">
      <c r="A171">
        <v>619131</v>
      </c>
      <c r="B171" t="s">
        <v>489</v>
      </c>
      <c r="C171" t="s">
        <v>490</v>
      </c>
      <c r="D171" t="s">
        <v>38</v>
      </c>
      <c r="E171" t="s">
        <v>491</v>
      </c>
      <c r="G171" t="str">
        <f>HYPERLINK(_xlfn.CONCAT("https://tablet.otzar.org/",CHAR(35),"/exKotar/619131"),"שני לוחות הברית &lt;דפו""""ר&gt;  - 2 כרכים")</f>
        <v>שני לוחות הברית &lt;דפו""ר&gt;  - 2 כרכים</v>
      </c>
      <c r="H171" t="str">
        <f>_xlfn.CONCAT("https://tablet.otzar.org/",CHAR(35),"/exKotar/619131")</f>
        <v>https://tablet.otzar.org/#/exKotar/619131</v>
      </c>
    </row>
    <row r="172" spans="1:8" x14ac:dyDescent="0.25">
      <c r="A172">
        <v>619195</v>
      </c>
      <c r="B172" t="s">
        <v>492</v>
      </c>
      <c r="C172" t="s">
        <v>493</v>
      </c>
      <c r="D172" t="s">
        <v>29</v>
      </c>
      <c r="E172" t="s">
        <v>398</v>
      </c>
      <c r="G172" t="str">
        <f>HYPERLINK(_xlfn.CONCAT("https://tablet.otzar.org/",CHAR(35),"/book/619195/p/-1/t/1/fs/0/start/0/end/0/c"),"שער השמים")</f>
        <v>שער השמים</v>
      </c>
      <c r="H172" t="str">
        <f>_xlfn.CONCAT("https://tablet.otzar.org/",CHAR(35),"/book/619195/p/-1/t/1/fs/0/start/0/end/0/c")</f>
        <v>https://tablet.otzar.org/#/book/619195/p/-1/t/1/fs/0/start/0/end/0/c</v>
      </c>
    </row>
    <row r="173" spans="1:8" x14ac:dyDescent="0.25">
      <c r="A173">
        <v>147263</v>
      </c>
      <c r="B173" t="s">
        <v>494</v>
      </c>
      <c r="C173" t="s">
        <v>495</v>
      </c>
      <c r="D173" t="s">
        <v>25</v>
      </c>
      <c r="E173" t="s">
        <v>21</v>
      </c>
      <c r="F173" t="s">
        <v>17</v>
      </c>
      <c r="G173" t="str">
        <f>HYPERLINK(_xlfn.CONCAT("https://tablet.otzar.org/",CHAR(35),"/exKotar/147263"),"שערי גן עדן - 2 כרכים")</f>
        <v>שערי גן עדן - 2 כרכים</v>
      </c>
      <c r="H173" t="str">
        <f>_xlfn.CONCAT("https://tablet.otzar.org/",CHAR(35),"/exKotar/147263")</f>
        <v>https://tablet.otzar.org/#/exKotar/147263</v>
      </c>
    </row>
    <row r="174" spans="1:8" x14ac:dyDescent="0.25">
      <c r="A174">
        <v>619190</v>
      </c>
      <c r="B174" t="s">
        <v>496</v>
      </c>
      <c r="C174" t="s">
        <v>497</v>
      </c>
      <c r="D174" t="s">
        <v>29</v>
      </c>
      <c r="E174" t="s">
        <v>338</v>
      </c>
      <c r="F174" t="s">
        <v>74</v>
      </c>
      <c r="G174" t="str">
        <f>HYPERLINK(_xlfn.CONCAT("https://tablet.otzar.org/",CHAR(35),"/book/619190/p/-1/t/1/fs/0/start/0/end/0/c"),"שערי דורא")</f>
        <v>שערי דורא</v>
      </c>
      <c r="H174" t="str">
        <f>_xlfn.CONCAT("https://tablet.otzar.org/",CHAR(35),"/book/619190/p/-1/t/1/fs/0/start/0/end/0/c")</f>
        <v>https://tablet.otzar.org/#/book/619190/p/-1/t/1/fs/0/start/0/end/0/c</v>
      </c>
    </row>
    <row r="175" spans="1:8" x14ac:dyDescent="0.25">
      <c r="A175">
        <v>619161</v>
      </c>
      <c r="B175" t="s">
        <v>498</v>
      </c>
      <c r="C175" t="s">
        <v>499</v>
      </c>
      <c r="D175" t="s">
        <v>500</v>
      </c>
      <c r="E175" t="s">
        <v>188</v>
      </c>
      <c r="F175" t="s">
        <v>48</v>
      </c>
      <c r="G175" t="str">
        <f>HYPERLINK(_xlfn.CONCAT("https://tablet.otzar.org/",CHAR(35),"/book/619161/p/-1/t/1/fs/0/start/0/end/0/c"),"שערי צדק")</f>
        <v>שערי צדק</v>
      </c>
      <c r="H175" t="str">
        <f>_xlfn.CONCAT("https://tablet.otzar.org/",CHAR(35),"/book/619161/p/-1/t/1/fs/0/start/0/end/0/c")</f>
        <v>https://tablet.otzar.org/#/book/619161/p/-1/t/1/fs/0/start/0/end/0/c</v>
      </c>
    </row>
    <row r="176" spans="1:8" x14ac:dyDescent="0.25">
      <c r="A176">
        <v>619046</v>
      </c>
      <c r="B176" t="s">
        <v>501</v>
      </c>
      <c r="C176" t="s">
        <v>502</v>
      </c>
      <c r="D176" t="s">
        <v>72</v>
      </c>
      <c r="E176" t="s">
        <v>503</v>
      </c>
      <c r="G176" t="str">
        <f>HYPERLINK(_xlfn.CONCAT("https://tablet.otzar.org/",CHAR(35),"/book/619046/p/-1/t/1/fs/0/start/0/end/0/c"),"שערי רצון")</f>
        <v>שערי רצון</v>
      </c>
      <c r="H176" t="str">
        <f>_xlfn.CONCAT("https://tablet.otzar.org/",CHAR(35),"/book/619046/p/-1/t/1/fs/0/start/0/end/0/c")</f>
        <v>https://tablet.otzar.org/#/book/619046/p/-1/t/1/fs/0/start/0/end/0/c</v>
      </c>
    </row>
    <row r="177" spans="1:8" x14ac:dyDescent="0.25">
      <c r="A177">
        <v>619167</v>
      </c>
      <c r="B177" t="s">
        <v>504</v>
      </c>
      <c r="C177" t="s">
        <v>505</v>
      </c>
      <c r="D177" t="s">
        <v>38</v>
      </c>
      <c r="E177" t="s">
        <v>506</v>
      </c>
      <c r="G177" t="str">
        <f>HYPERLINK(_xlfn.CONCAT("https://tablet.otzar.org/",CHAR(35),"/book/619167/p/-1/t/1/fs/0/start/0/end/0/c"),"שפתי ישינים")</f>
        <v>שפתי ישינים</v>
      </c>
      <c r="H177" t="str">
        <f>_xlfn.CONCAT("https://tablet.otzar.org/",CHAR(35),"/book/619167/p/-1/t/1/fs/0/start/0/end/0/c")</f>
        <v>https://tablet.otzar.org/#/book/619167/p/-1/t/1/fs/0/start/0/end/0/c</v>
      </c>
    </row>
    <row r="178" spans="1:8" x14ac:dyDescent="0.25">
      <c r="A178">
        <v>619147</v>
      </c>
      <c r="B178" t="s">
        <v>507</v>
      </c>
      <c r="C178" t="s">
        <v>508</v>
      </c>
      <c r="D178" t="s">
        <v>38</v>
      </c>
      <c r="E178" t="s">
        <v>509</v>
      </c>
      <c r="F178" t="s">
        <v>176</v>
      </c>
      <c r="G178" t="str">
        <f>HYPERLINK(_xlfn.CONCAT("https://tablet.otzar.org/",CHAR(35),"/book/619147/p/-1/t/1/fs/0/start/0/end/0/c"),"שפתי כהן &lt;חושן משפט דפו""""ר&gt;")</f>
        <v>שפתי כהן &lt;חושן משפט דפו""ר&gt;</v>
      </c>
      <c r="H178" t="str">
        <f>_xlfn.CONCAT("https://tablet.otzar.org/",CHAR(35),"/book/619147/p/-1/t/1/fs/0/start/0/end/0/c")</f>
        <v>https://tablet.otzar.org/#/book/619147/p/-1/t/1/fs/0/start/0/end/0/c</v>
      </c>
    </row>
    <row r="179" spans="1:8" x14ac:dyDescent="0.25">
      <c r="A179">
        <v>619168</v>
      </c>
      <c r="B179" t="s">
        <v>510</v>
      </c>
      <c r="C179" t="s">
        <v>511</v>
      </c>
      <c r="D179" t="s">
        <v>38</v>
      </c>
      <c r="E179" t="s">
        <v>124</v>
      </c>
      <c r="F179" t="s">
        <v>17</v>
      </c>
      <c r="G179" t="str">
        <f>HYPERLINK(_xlfn.CONCAT("https://tablet.otzar.org/",CHAR(35),"/book/619168/p/-1/t/1/fs/0/start/0/end/0/c"),"תבנית היכל")</f>
        <v>תבנית היכל</v>
      </c>
      <c r="H179" t="str">
        <f>_xlfn.CONCAT("https://tablet.otzar.org/",CHAR(35),"/book/619168/p/-1/t/1/fs/0/start/0/end/0/c")</f>
        <v>https://tablet.otzar.org/#/book/619168/p/-1/t/1/fs/0/start/0/end/0/c</v>
      </c>
    </row>
    <row r="180" spans="1:8" x14ac:dyDescent="0.25">
      <c r="A180">
        <v>619151</v>
      </c>
      <c r="B180" t="s">
        <v>512</v>
      </c>
      <c r="C180" t="s">
        <v>513</v>
      </c>
      <c r="D180" t="s">
        <v>15</v>
      </c>
      <c r="E180" t="s">
        <v>514</v>
      </c>
      <c r="F180" t="s">
        <v>22</v>
      </c>
      <c r="G180" t="str">
        <f>HYPERLINK(_xlfn.CONCAT("https://tablet.otzar.org/",CHAR(35),"/book/619151/p/-1/t/1/fs/0/start/0/end/0/c"),"תולדות יצחק")</f>
        <v>תולדות יצחק</v>
      </c>
      <c r="H180" t="str">
        <f>_xlfn.CONCAT("https://tablet.otzar.org/",CHAR(35),"/book/619151/p/-1/t/1/fs/0/start/0/end/0/c")</f>
        <v>https://tablet.otzar.org/#/book/619151/p/-1/t/1/fs/0/start/0/end/0/c</v>
      </c>
    </row>
    <row r="181" spans="1:8" x14ac:dyDescent="0.25">
      <c r="A181">
        <v>611737</v>
      </c>
      <c r="B181" t="s">
        <v>515</v>
      </c>
      <c r="C181" t="s">
        <v>516</v>
      </c>
      <c r="D181" t="s">
        <v>54</v>
      </c>
      <c r="E181" t="s">
        <v>517</v>
      </c>
      <c r="F181" t="s">
        <v>74</v>
      </c>
      <c r="G181" t="str">
        <f>HYPERLINK(_xlfn.CONCAT("https://tablet.otzar.org/",CHAR(35),"/book/611737/p/-1/t/1/fs/0/start/0/end/0/c"),"תורת החטאת")</f>
        <v>תורת החטאת</v>
      </c>
      <c r="H181" t="str">
        <f>_xlfn.CONCAT("https://tablet.otzar.org/",CHAR(35),"/book/611737/p/-1/t/1/fs/0/start/0/end/0/c")</f>
        <v>https://tablet.otzar.org/#/book/611737/p/-1/t/1/fs/0/start/0/end/0/c</v>
      </c>
    </row>
    <row r="182" spans="1:8" x14ac:dyDescent="0.25">
      <c r="A182">
        <v>611733</v>
      </c>
      <c r="B182" t="s">
        <v>518</v>
      </c>
      <c r="C182" t="s">
        <v>137</v>
      </c>
      <c r="D182" t="s">
        <v>519</v>
      </c>
      <c r="E182" t="s">
        <v>520</v>
      </c>
      <c r="F182" t="s">
        <v>22</v>
      </c>
      <c r="G182" t="str">
        <f>HYPERLINK(_xlfn.CONCAT("https://tablet.otzar.org/",CHAR(35),"/book/611733/p/-1/t/1/fs/0/start/0/end/0/c"),"תורת משה &lt;דפו""""ר&gt; - בראשית")</f>
        <v>תורת משה &lt;דפו""ר&gt; - בראשית</v>
      </c>
      <c r="H182" t="str">
        <f>_xlfn.CONCAT("https://tablet.otzar.org/",CHAR(35),"/book/611733/p/-1/t/1/fs/0/start/0/end/0/c")</f>
        <v>https://tablet.otzar.org/#/book/611733/p/-1/t/1/fs/0/start/0/end/0/c</v>
      </c>
    </row>
    <row r="183" spans="1:8" x14ac:dyDescent="0.25">
      <c r="A183">
        <v>619181</v>
      </c>
      <c r="B183" t="s">
        <v>521</v>
      </c>
      <c r="C183" t="s">
        <v>522</v>
      </c>
      <c r="D183" t="s">
        <v>20</v>
      </c>
      <c r="E183" t="s">
        <v>523</v>
      </c>
      <c r="G183" t="str">
        <f>HYPERLINK(_xlfn.CONCAT("https://tablet.otzar.org/",CHAR(35),"/book/619181/p/-1/t/1/fs/0/start/0/end/0/c"),"תחכמוני")</f>
        <v>תחכמוני</v>
      </c>
      <c r="H183" t="str">
        <f>_xlfn.CONCAT("https://tablet.otzar.org/",CHAR(35),"/book/619181/p/-1/t/1/fs/0/start/0/end/0/c")</f>
        <v>https://tablet.otzar.org/#/book/619181/p/-1/t/1/fs/0/start/0/end/0/c</v>
      </c>
    </row>
    <row r="184" spans="1:8" x14ac:dyDescent="0.25">
      <c r="A184">
        <v>614548</v>
      </c>
      <c r="B184" t="s">
        <v>524</v>
      </c>
      <c r="C184" t="s">
        <v>525</v>
      </c>
      <c r="D184" t="s">
        <v>15</v>
      </c>
      <c r="E184" t="s">
        <v>526</v>
      </c>
      <c r="G184" t="str">
        <f>HYPERLINK(_xlfn.CONCAT("https://tablet.otzar.org/",CHAR(35),"/book/614548/p/-1/t/1/fs/0/start/0/end/0/c"),"תיקוני הזהר")</f>
        <v>תיקוני הזהר</v>
      </c>
      <c r="H184" t="str">
        <f>_xlfn.CONCAT("https://tablet.otzar.org/",CHAR(35),"/book/614548/p/-1/t/1/fs/0/start/0/end/0/c")</f>
        <v>https://tablet.otzar.org/#/book/614548/p/-1/t/1/fs/0/start/0/end/0/c</v>
      </c>
    </row>
    <row r="185" spans="1:8" x14ac:dyDescent="0.25">
      <c r="A185">
        <v>619136</v>
      </c>
      <c r="B185" t="s">
        <v>527</v>
      </c>
      <c r="C185" t="s">
        <v>528</v>
      </c>
      <c r="D185" t="s">
        <v>25</v>
      </c>
      <c r="E185" t="s">
        <v>529</v>
      </c>
      <c r="F185" t="s">
        <v>48</v>
      </c>
      <c r="G185" t="str">
        <f>HYPERLINK(_xlfn.CONCAT("https://tablet.otzar.org/",CHAR(35),"/book/619136/p/-1/t/1/fs/0/start/0/end/0/c"),"תמים יחדיו")</f>
        <v>תמים יחדיו</v>
      </c>
      <c r="H185" t="str">
        <f>_xlfn.CONCAT("https://tablet.otzar.org/",CHAR(35),"/book/619136/p/-1/t/1/fs/0/start/0/end/0/c")</f>
        <v>https://tablet.otzar.org/#/book/619136/p/-1/t/1/fs/0/start/0/end/0/c</v>
      </c>
    </row>
    <row r="186" spans="1:8" x14ac:dyDescent="0.25">
      <c r="A186">
        <v>622184</v>
      </c>
      <c r="B186" t="s">
        <v>530</v>
      </c>
      <c r="C186" t="s">
        <v>531</v>
      </c>
      <c r="D186" t="s">
        <v>58</v>
      </c>
      <c r="E186" t="s">
        <v>59</v>
      </c>
      <c r="F186" t="s">
        <v>22</v>
      </c>
      <c r="G186" t="str">
        <f>HYPERLINK(_xlfn.CONCAT("https://tablet.otzar.org/",CHAR(35),"/book/622184/p/-1/t/1/fs/0/start/0/end/0/c"),"תנחומא הנקרא ילמדנו")</f>
        <v>תנחומא הנקרא ילמדנו</v>
      </c>
      <c r="H186" t="str">
        <f>_xlfn.CONCAT("https://tablet.otzar.org/",CHAR(35),"/book/622184/p/-1/t/1/fs/0/start/0/end/0/c")</f>
        <v>https://tablet.otzar.org/#/book/622184/p/-1/t/1/fs/0/start/0/end/0/c</v>
      </c>
    </row>
    <row r="187" spans="1:8" x14ac:dyDescent="0.25">
      <c r="A187">
        <v>614538</v>
      </c>
      <c r="B187" t="s">
        <v>532</v>
      </c>
      <c r="C187" t="s">
        <v>533</v>
      </c>
      <c r="D187" t="s">
        <v>29</v>
      </c>
      <c r="E187" t="s">
        <v>534</v>
      </c>
      <c r="G187" t="str">
        <f>HYPERLINK(_xlfn.CONCAT("https://tablet.otzar.org/",CHAR(35),"/book/614538/p/-1/t/1/fs/0/start/0/end/0/c"),"תעלומות ומקורות החכמה")</f>
        <v>תעלומות ומקורות החכמה</v>
      </c>
      <c r="H187" t="str">
        <f>_xlfn.CONCAT("https://tablet.otzar.org/",CHAR(35),"/book/614538/p/-1/t/1/fs/0/start/0/end/0/c")</f>
        <v>https://tablet.otzar.org/#/book/614538/p/-1/t/1/fs/0/start/0/end/0/c</v>
      </c>
    </row>
    <row r="188" spans="1:8" x14ac:dyDescent="0.25">
      <c r="A188">
        <v>614584</v>
      </c>
      <c r="B188" t="s">
        <v>535</v>
      </c>
      <c r="C188" t="s">
        <v>536</v>
      </c>
      <c r="D188" t="s">
        <v>537</v>
      </c>
      <c r="E188" t="s">
        <v>538</v>
      </c>
      <c r="F188" t="s">
        <v>17</v>
      </c>
      <c r="G188" t="str">
        <f>HYPERLINK(_xlfn.CONCAT("https://tablet.otzar.org/",CHAR(35),"/book/614584/p/-1/t/1/fs/0/start/0/end/0/c"),"תעלמות חכמה")</f>
        <v>תעלמות חכמה</v>
      </c>
      <c r="H188" t="str">
        <f>_xlfn.CONCAT("https://tablet.otzar.org/",CHAR(35),"/book/614584/p/-1/t/1/fs/0/start/0/end/0/c")</f>
        <v>https://tablet.otzar.org/#/book/614584/p/-1/t/1/fs/0/start/0/end/0/c</v>
      </c>
    </row>
    <row r="189" spans="1:8" x14ac:dyDescent="0.25">
      <c r="A189">
        <v>611759</v>
      </c>
      <c r="B189" t="s">
        <v>539</v>
      </c>
      <c r="C189" t="s">
        <v>540</v>
      </c>
      <c r="D189" t="s">
        <v>385</v>
      </c>
      <c r="E189" t="s">
        <v>541</v>
      </c>
      <c r="F189" t="s">
        <v>12</v>
      </c>
      <c r="G189" t="str">
        <f>HYPERLINK(_xlfn.CONCAT("https://tablet.otzar.org/",CHAR(35),"/book/611759/p/-1/t/1/fs/0/start/0/end/0/c"),"תקון מדות הנפש")</f>
        <v>תקון מדות הנפש</v>
      </c>
      <c r="H189" t="str">
        <f>_xlfn.CONCAT("https://tablet.otzar.org/",CHAR(35),"/book/611759/p/-1/t/1/fs/0/start/0/end/0/c")</f>
        <v>https://tablet.otzar.org/#/book/611759/p/-1/t/1/fs/0/start/0/end/0/c</v>
      </c>
    </row>
    <row r="190" spans="1:8" x14ac:dyDescent="0.25">
      <c r="A190">
        <v>611746</v>
      </c>
      <c r="B190" t="s">
        <v>542</v>
      </c>
      <c r="C190" t="s">
        <v>543</v>
      </c>
      <c r="D190" t="s">
        <v>544</v>
      </c>
      <c r="E190" t="s">
        <v>545</v>
      </c>
      <c r="F190" t="s">
        <v>74</v>
      </c>
      <c r="G190" t="str">
        <f>HYPERLINK(_xlfn.CONCAT("https://tablet.otzar.org/",CHAR(35),"/book/611746/p/-1/t/1/fs/0/start/0/end/0/c"),"תקנות ק""""ק פראג")</f>
        <v>תקנות ק""ק פראג</v>
      </c>
      <c r="H190" t="str">
        <f>_xlfn.CONCAT("https://tablet.otzar.org/",CHAR(35),"/book/611746/p/-1/t/1/fs/0/start/0/end/0/c")</f>
        <v>https://tablet.otzar.org/#/book/611746/p/-1/t/1/fs/0/start/0/end/0/c</v>
      </c>
    </row>
    <row r="191" spans="1:8" x14ac:dyDescent="0.25">
      <c r="A191">
        <v>619171</v>
      </c>
      <c r="B191" t="s">
        <v>546</v>
      </c>
      <c r="C191" t="s">
        <v>413</v>
      </c>
      <c r="D191" t="s">
        <v>29</v>
      </c>
      <c r="E191" t="s">
        <v>414</v>
      </c>
      <c r="F191" t="s">
        <v>74</v>
      </c>
      <c r="G191" t="str">
        <f>HYPERLINK(_xlfn.CONCAT("https://tablet.otzar.org/",CHAR(35),"/book/619171/p/-1/t/1/fs/0/start/0/end/0/c"),"תרומת הדשן")</f>
        <v>תרומת הדשן</v>
      </c>
      <c r="H191" t="str">
        <f>_xlfn.CONCAT("https://tablet.otzar.org/",CHAR(35),"/book/619171/p/-1/t/1/fs/0/start/0/end/0/c")</f>
        <v>https://tablet.otzar.org/#/book/619171/p/-1/t/1/fs/0/start/0/end/0/c</v>
      </c>
    </row>
    <row r="192" spans="1:8" x14ac:dyDescent="0.25">
      <c r="A192">
        <v>618722</v>
      </c>
      <c r="B192" t="s">
        <v>547</v>
      </c>
      <c r="C192" t="s">
        <v>464</v>
      </c>
      <c r="D192" t="s">
        <v>29</v>
      </c>
      <c r="E192" t="s">
        <v>414</v>
      </c>
      <c r="F192" t="s">
        <v>150</v>
      </c>
      <c r="G192" t="str">
        <f>HYPERLINK(_xlfn.CONCAT("https://tablet.otzar.org/",CHAR(35),"/book/618722/p/-1/t/1/fs/0/start/0/end/0/c"),"תשובות שאילות &lt;המיוחסות לרמב""""ן&gt;")</f>
        <v>תשובות שאילות &lt;המיוחסות לרמב""ן&gt;</v>
      </c>
      <c r="H192" t="str">
        <f>_xlfn.CONCAT("https://tablet.otzar.org/",CHAR(35),"/book/618722/p/-1/t/1/fs/0/start/0/end/0/c")</f>
        <v>https://tablet.otzar.org/#/book/618722/p/-1/t/1/fs/0/start/0/end/0/c</v>
      </c>
    </row>
    <row r="193" spans="1:8" x14ac:dyDescent="0.25">
      <c r="A193">
        <v>619197</v>
      </c>
      <c r="B193" t="s">
        <v>548</v>
      </c>
      <c r="C193" t="s">
        <v>41</v>
      </c>
      <c r="D193" t="s">
        <v>20</v>
      </c>
      <c r="E193" t="s">
        <v>549</v>
      </c>
      <c r="F193" t="s">
        <v>150</v>
      </c>
      <c r="G193" t="str">
        <f>HYPERLINK(_xlfn.CONCAT("https://tablet.otzar.org/",CHAR(35),"/book/619197/p/-1/t/1/fs/0/start/0/end/0/c"),"תשובות שאלות &lt;שו""""ת ר' אליהו מזרחי&gt;")</f>
        <v>תשובות שאלות &lt;שו""ת ר' אליהו מזרחי&gt;</v>
      </c>
      <c r="H193" t="str">
        <f>_xlfn.CONCAT("https://tablet.otzar.org/",CHAR(35),"/book/619197/p/-1/t/1/fs/0/start/0/end/0/c")</f>
        <v>https://tablet.otzar.org/#/book/619197/p/-1/t/1/fs/0/start/0/end/0/c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 of books מאגרים - אוסף סטפ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dcterms:created xsi:type="dcterms:W3CDTF">2025-03-24T17:21:06Z</dcterms:created>
  <dcterms:modified xsi:type="dcterms:W3CDTF">2025-03-24T17:21:06Z</dcterms:modified>
</cp:coreProperties>
</file>